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A378353F-EC84-4FB9-A0A6-812F49BCF51B}" xr6:coauthVersionLast="47" xr6:coauthVersionMax="47" xr10:uidLastSave="{00000000-0000-0000-0000-000000000000}"/>
  <bookViews>
    <workbookView xWindow="-120" yWindow="-120" windowWidth="29040" windowHeight="15840" tabRatio="381" xr2:uid="{00000000-000D-0000-FFFF-FFFF00000000}"/>
  </bookViews>
  <sheets>
    <sheet name="тит" sheetId="48" r:id="rId1"/>
    <sheet name="Раздел 1" sheetId="49" r:id="rId2"/>
    <sheet name="Раздел 2" sheetId="50" r:id="rId3"/>
    <sheet name="Раздел 3 (новый) " sheetId="56" r:id="rId4"/>
    <sheet name="Расчеты ГЗ" sheetId="57" r:id="rId5"/>
    <sheet name="ФОТ" sheetId="67" state="hidden" r:id="rId6"/>
    <sheet name="численность классы" sheetId="46" state="hidden" r:id="rId7"/>
    <sheet name="числен сад" sheetId="47" state="hidden" r:id="rId8"/>
    <sheet name="Страховые взносы" sheetId="68" state="hidden" r:id="rId9"/>
    <sheet name="Повышение квалификации" sheetId="69" state="hidden" r:id="rId10"/>
    <sheet name="Командировочные расходы" sheetId="70" state="hidden" r:id="rId11"/>
    <sheet name="Связь 221" sheetId="25" state="hidden" r:id="rId12"/>
    <sheet name="Пож сигнализ 225-055" sheetId="29" state="hidden" r:id="rId13"/>
    <sheet name=" услуги по содерж имущ 225-770" sheetId="20" state="hidden" r:id="rId14"/>
    <sheet name="Техобслуживание 225-770 226-046" sheetId="21" state="hidden" r:id="rId15"/>
    <sheet name="прочие услуги 226-046" sheetId="13" state="hidden" r:id="rId16"/>
    <sheet name="медосмотры 226-046" sheetId="16" state="hidden" r:id="rId17"/>
    <sheet name="учебники  310-045" sheetId="11" state="hidden" r:id="rId18"/>
    <sheet name="Основ средства 310-914" sheetId="3" state="hidden" r:id="rId19"/>
    <sheet name="медикаменты 341-510" sheetId="2" state="hidden" r:id="rId20"/>
    <sheet name="344" sheetId="75" state="hidden" r:id="rId21"/>
    <sheet name="мягкий инв 345-520" sheetId="7" state="hidden" r:id="rId22"/>
    <sheet name="ГСМ 343-540" sheetId="73" state="hidden" r:id="rId23"/>
    <sheet name="прочие мат запасы 346-550" sheetId="8" state="hidden" r:id="rId24"/>
    <sheet name="сувениры 349-845" sheetId="9" state="hidden" r:id="rId25"/>
    <sheet name="земельный налог" sheetId="30" state="hidden" r:id="rId26"/>
    <sheet name="налог на имущество" sheetId="31" state="hidden" r:id="rId27"/>
    <sheet name="Текущий и кап ремонт" sheetId="65" state="hidden" r:id="rId28"/>
    <sheet name="Расчеты (Иные)" sheetId="58" r:id="rId29"/>
    <sheet name="Продукты школьникам" sheetId="61" state="hidden" r:id="rId30"/>
    <sheet name="Льготный проезд" sheetId="59" state="hidden" r:id="rId31"/>
    <sheet name="Коммунальные услуги" sheetId="60" state="hidden" r:id="rId32"/>
    <sheet name="Выплаты специалистам на селе" sheetId="62" state="hidden" r:id="rId33"/>
    <sheet name="Летний отдых 2020" sheetId="64" state="hidden" r:id="rId34"/>
    <sheet name="норматив" sheetId="55" state="hidden" r:id="rId35"/>
    <sheet name="классное руководство" sheetId="42" state="hidden" r:id="rId36"/>
  </sheets>
  <externalReferences>
    <externalReference r:id="rId37"/>
  </externalReferences>
  <definedNames>
    <definedName name="_Par114" localSheetId="2">'Раздел 2'!$C$20</definedName>
    <definedName name="_Par122" localSheetId="2">'Раздел 2'!$C$21</definedName>
    <definedName name="_Par172" localSheetId="2">'Раздел 2'!$C$29</definedName>
    <definedName name="_Par22" localSheetId="2">'Раздел 2'!$C$5</definedName>
    <definedName name="_Par31" localSheetId="2">'Раздел 2'!$C$6</definedName>
    <definedName name="_Par39" localSheetId="2">'Раздел 2'!$C$8</definedName>
    <definedName name="_Par47" localSheetId="2">'Раздел 2'!$C$9</definedName>
    <definedName name="_Par55" localSheetId="2">'Раздел 2'!$C$10</definedName>
    <definedName name="_Par64" localSheetId="2">'Раздел 2'!$C$11</definedName>
    <definedName name="_Par89" localSheetId="2">'Раздел 2'!$C$16</definedName>
    <definedName name="BossProviderVariable?_2a30b9c3_de64_423d_9538_fd22381c37e7" hidden="1">"25_01_2006"</definedName>
    <definedName name="Z_055B7927_C092_4F22_90D9_191F5DA65B03_.wvu.Rows" localSheetId="25" hidden="1">'земельный налог'!#REF!,'земельный налог'!#REF!</definedName>
    <definedName name="Z_055B7927_C092_4F22_90D9_191F5DA65B03_.wvu.Rows" localSheetId="26" hidden="1">'налог на имущество'!#REF!,'налог на имущество'!#REF!,'налог на имущество'!#REF!,'налог на имущество'!#REF!</definedName>
    <definedName name="Z_0991CBE4_B7B9_4BD1_AD04_6701756CCA54_.wvu.Rows" localSheetId="25" hidden="1">'земельный налог'!#REF!</definedName>
    <definedName name="Z_0991CBE4_B7B9_4BD1_AD04_6701756CCA54_.wvu.Rows" localSheetId="26" hidden="1">'налог на имущество'!#REF!,'налог на имущество'!#REF!,'налог на имущество'!#REF!,'налог на имущество'!#REF!</definedName>
    <definedName name="Z_0A4F27FF_2EA4_45D9_8B27_4673391F09E7_.wvu.Rows" localSheetId="25" hidden="1">'земельный налог'!#REF!</definedName>
    <definedName name="Z_0A4F27FF_2EA4_45D9_8B27_4673391F09E7_.wvu.Rows" localSheetId="26" hidden="1">'налог на имущество'!#REF!,'налог на имущество'!#REF!,'налог на имущество'!#REF!,'налог на имущество'!#REF!</definedName>
    <definedName name="Z_0AE20E01_7210_4027_81BF_E4F8C32AED2D_.wvu.Rows" localSheetId="25" hidden="1">'земельный налог'!#REF!</definedName>
    <definedName name="Z_0AE20E01_7210_4027_81BF_E4F8C32AED2D_.wvu.Rows" localSheetId="26" hidden="1">'налог на имущество'!#REF!,'налог на имущество'!#REF!,'налог на имущество'!#REF!,'налог на имущество'!#REF!</definedName>
    <definedName name="Z_23EA4440_73D8_45FD_8F3B_CB8DB3D41662_.wvu.Rows" localSheetId="25" hidden="1">'земельный налог'!#REF!</definedName>
    <definedName name="Z_23EA4440_73D8_45FD_8F3B_CB8DB3D41662_.wvu.Rows" localSheetId="26" hidden="1">'налог на имущество'!#REF!,'налог на имущество'!#REF!,'налог на имущество'!#REF!,'налог на имущество'!#REF!</definedName>
    <definedName name="Z_35F7A1F7_5D07_48DE_A7E3_8178A109EB38_.wvu.PrintTitles" localSheetId="16" hidden="1">'медосмотры 226-046'!$A:$A</definedName>
    <definedName name="Z_35F7A1F7_5D07_48DE_A7E3_8178A109EB38_.wvu.Rows" localSheetId="25" hidden="1">'земельный налог'!#REF!</definedName>
    <definedName name="Z_35F7A1F7_5D07_48DE_A7E3_8178A109EB38_.wvu.Rows" localSheetId="26" hidden="1">'налог на имущество'!#REF!,'налог на имущество'!#REF!,'налог на имущество'!#REF!,'налог на имущество'!#REF!</definedName>
    <definedName name="Z_3B9E6805_F811_41BD_992C_00AE99982B55_.wvu.Rows" localSheetId="25" hidden="1">'земельный налог'!#REF!</definedName>
    <definedName name="Z_3B9E6805_F811_41BD_992C_00AE99982B55_.wvu.Rows" localSheetId="26" hidden="1">'налог на имущество'!#REF!,'налог на имущество'!#REF!,'налог на имущество'!#REF!,'налог на имущество'!#REF!</definedName>
    <definedName name="Z_3D3A38D8_35A4_4682_8BE9_22E2BEF74CB4_.wvu.Rows" localSheetId="25" hidden="1">'земельный налог'!#REF!</definedName>
    <definedName name="Z_3D3A38D8_35A4_4682_8BE9_22E2BEF74CB4_.wvu.Rows" localSheetId="26" hidden="1">'налог на имущество'!#REF!,'налог на имущество'!#REF!,'налог на имущество'!#REF!,'налог на имущество'!#REF!</definedName>
    <definedName name="Z_448607C6_F702_4D23_A7A6_7E96EEB2D916_.wvu.Rows" localSheetId="25" hidden="1">'земельный налог'!#REF!</definedName>
    <definedName name="Z_448607C6_F702_4D23_A7A6_7E96EEB2D916_.wvu.Rows" localSheetId="26" hidden="1">'налог на имущество'!#REF!,'налог на имущество'!#REF!,'налог на имущество'!#REF!,'налог на имущество'!#REF!</definedName>
    <definedName name="Z_4D52E7BC_90F6_4E58_ADE6_82198596B74D_.wvu.Rows" localSheetId="25" hidden="1">'земельный налог'!#REF!</definedName>
    <definedName name="Z_4D52E7BC_90F6_4E58_ADE6_82198596B74D_.wvu.Rows" localSheetId="26" hidden="1">'налог на имущество'!#REF!,'налог на имущество'!#REF!,'налог на имущество'!#REF!,'налог на имущество'!#REF!</definedName>
    <definedName name="Z_50C21439_73F2_4A8E_8E65_3D3119AED2F8_.wvu.Rows" localSheetId="25" hidden="1">'земельный налог'!#REF!</definedName>
    <definedName name="Z_50C21439_73F2_4A8E_8E65_3D3119AED2F8_.wvu.Rows" localSheetId="26" hidden="1">'налог на имущество'!#REF!,'налог на имущество'!#REF!,'налог на имущество'!#REF!,'налог на имущество'!#REF!</definedName>
    <definedName name="Z_518DC668_9969_4E9C_A59A_5F29AB74F5D9_.wvu.Rows" localSheetId="25" hidden="1">'земельный налог'!#REF!</definedName>
    <definedName name="Z_518DC668_9969_4E9C_A59A_5F29AB74F5D9_.wvu.Rows" localSheetId="26" hidden="1">'налог на имущество'!#REF!,'налог на имущество'!#REF!,'налог на имущество'!#REF!,'налог на имущество'!#REF!</definedName>
    <definedName name="Z_6DF52098_4BCF_4AC8_9364_58BB2B647C05_.wvu.Rows" localSheetId="25" hidden="1">'земельный налог'!#REF!</definedName>
    <definedName name="Z_6DF52098_4BCF_4AC8_9364_58BB2B647C05_.wvu.Rows" localSheetId="26" hidden="1">'налог на имущество'!#REF!,'налог на имущество'!#REF!,'налог на имущество'!#REF!,'налог на имущество'!#REF!</definedName>
    <definedName name="Z_7BB9CEDA_AEE8_47BF_A67F_2181ADAEA85C_.wvu.Rows" localSheetId="25" hidden="1">'земельный налог'!#REF!</definedName>
    <definedName name="Z_7BB9CEDA_AEE8_47BF_A67F_2181ADAEA85C_.wvu.Rows" localSheetId="26" hidden="1">'налог на имущество'!#REF!,'налог на имущество'!#REF!,'налог на имущество'!#REF!,'налог на имущество'!#REF!</definedName>
    <definedName name="Z_A229211B_B330_4289_81F2_DF337C72867A_.wvu.Rows" localSheetId="25" hidden="1">'земельный налог'!#REF!</definedName>
    <definedName name="Z_A229211B_B330_4289_81F2_DF337C72867A_.wvu.Rows" localSheetId="26" hidden="1">'налог на имущество'!#REF!,'налог на имущество'!#REF!,'налог на имущество'!#REF!,'налог на имущество'!#REF!</definedName>
    <definedName name="Z_A673C281_585B_4F1A_9F6D_024C65E6F5CD_.wvu.Rows" localSheetId="25" hidden="1">'земельный налог'!#REF!</definedName>
    <definedName name="Z_A673C281_585B_4F1A_9F6D_024C65E6F5CD_.wvu.Rows" localSheetId="26" hidden="1">'налог на имущество'!#REF!,'налог на имущество'!#REF!,'налог на имущество'!#REF!,'налог на имущество'!#REF!</definedName>
    <definedName name="Z_B6D43591_9B69_4A72_B61B_D57DD90CA0C3_.wvu.Rows" localSheetId="25" hidden="1">'земельный налог'!#REF!</definedName>
    <definedName name="Z_B6D43591_9B69_4A72_B61B_D57DD90CA0C3_.wvu.Rows" localSheetId="26" hidden="1">'налог на имущество'!#REF!,'налог на имущество'!#REF!,'налог на имущество'!#REF!,'налог на имущество'!#REF!</definedName>
    <definedName name="Z_CBD6936A_BF67_4E55_BDC7_1A1C3AFEFF90_.wvu.Rows" localSheetId="25" hidden="1">'земельный налог'!#REF!</definedName>
    <definedName name="Z_CBD6936A_BF67_4E55_BDC7_1A1C3AFEFF90_.wvu.Rows" localSheetId="26" hidden="1">'налог на имущество'!#REF!,'налог на имущество'!#REF!,'налог на имущество'!#REF!,'налог на имущество'!#REF!</definedName>
    <definedName name="Z_E9667B58_8B06_492E_B0B4_4CB6843CC5C7_.wvu.Rows" localSheetId="25" hidden="1">'земельный налог'!#REF!</definedName>
    <definedName name="Z_E9667B58_8B06_492E_B0B4_4CB6843CC5C7_.wvu.Rows" localSheetId="26" hidden="1">'налог на имущество'!#REF!,'налог на имущество'!#REF!,'налог на имущество'!#REF!,'налог на имущество'!#REF!</definedName>
    <definedName name="Z_EAD15E88_8079_418E_ADEF_F6499F3A205C_.wvu.Rows" localSheetId="25" hidden="1">'земельный налог'!#REF!</definedName>
    <definedName name="Z_EAD15E88_8079_418E_ADEF_F6499F3A205C_.wvu.Rows" localSheetId="26" hidden="1">'налог на имущество'!#REF!,'налог на имущество'!#REF!,'налог на имущество'!#REF!,'налог на имущество'!#REF!</definedName>
    <definedName name="Z_F2D3616C_6800_4178_8F3B_44DCE676D142_.wvu.Rows" localSheetId="25" hidden="1">'земельный налог'!#REF!</definedName>
    <definedName name="Z_F2D3616C_6800_4178_8F3B_44DCE676D142_.wvu.Rows" localSheetId="26" hidden="1">'налог на имущество'!#REF!,'налог на имущество'!#REF!,'налог на имущество'!#REF!,'налог на имущество'!#REF!</definedName>
    <definedName name="Z_FB6949ED_E585_48E2_B288_10A326EE3ABD_.wvu.Rows" localSheetId="25" hidden="1">'земельный налог'!#REF!,'земельный налог'!#REF!</definedName>
    <definedName name="Z_FB6949ED_E585_48E2_B288_10A326EE3ABD_.wvu.Rows" localSheetId="26" hidden="1">'налог на имущество'!#REF!,'налог на имущество'!#REF!,'налог на имущество'!#REF!,'налог на имущество'!#REF!</definedName>
    <definedName name="_xlnm.Print_Titles" localSheetId="35">'классное руководство'!$3:$5</definedName>
    <definedName name="_xlnm.Print_Titles" localSheetId="33">'Летний отдых 2020'!$A:$B</definedName>
    <definedName name="_xlnm.Print_Titles" localSheetId="6">'численность классы'!$3:$5</definedName>
    <definedName name="_xlnm.Print_Area" localSheetId="20">'344'!$A$1:$F$23</definedName>
    <definedName name="_xlnm.Print_Area" localSheetId="25">'земельный налог'!$A$1:$F$13</definedName>
    <definedName name="_xlnm.Print_Area" localSheetId="35">'классное руководство'!$A$1:$N$20</definedName>
    <definedName name="_xlnm.Print_Area" localSheetId="33">'Летний отдых 2020'!$A$1:$AJ$10</definedName>
    <definedName name="_xlnm.Print_Area" localSheetId="34">норматив!$A$1:$I$6</definedName>
    <definedName name="_xlnm.Print_Area" localSheetId="12">'Пож сигнализ 225-055'!$A$1:$H$7</definedName>
    <definedName name="_xlnm.Print_Area" localSheetId="15">'прочие услуги 226-046'!$A$1:$G$48</definedName>
    <definedName name="_xlnm.Print_Area" localSheetId="1">'Раздел 1'!$A$1:$H$102</definedName>
    <definedName name="_xlnm.Print_Area" localSheetId="3">'Раздел 3 (новый) '!$A$1:$P$185</definedName>
    <definedName name="_xlnm.Print_Area" localSheetId="28">'Расчеты (Иные)'!$A$1:$DA$170</definedName>
    <definedName name="_xlnm.Print_Area" localSheetId="4">'Расчеты ГЗ'!$A$1:$DA$114</definedName>
    <definedName name="_xlnm.Print_Area" localSheetId="11">'Связь 221'!$A$1:$P$8</definedName>
    <definedName name="_xlnm.Print_Area" localSheetId="0">тит!$A$1:$DD$47</definedName>
    <definedName name="_xlnm.Print_Area" localSheetId="5">ФОТ!$A$1:$AC$47</definedName>
    <definedName name="_xlnm.Print_Area" localSheetId="6">'численность классы'!$A$1:$AF$17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93" i="57" l="1"/>
  <c r="CJ84" i="57"/>
  <c r="CJ67" i="57"/>
  <c r="S14" i="56"/>
  <c r="S9" i="56"/>
  <c r="CL134" i="58"/>
  <c r="X13" i="56"/>
  <c r="AF74" i="56"/>
  <c r="O40" i="56"/>
  <c r="AF35" i="56" l="1"/>
  <c r="P27" i="56"/>
  <c r="P33" i="56"/>
  <c r="O74" i="56"/>
  <c r="O64" i="56"/>
  <c r="H168" i="56"/>
  <c r="G168" i="56" s="1"/>
  <c r="F168" i="56" s="1"/>
  <c r="H167" i="56"/>
  <c r="G167" i="56" s="1"/>
  <c r="H166" i="56"/>
  <c r="G166" i="56" s="1"/>
  <c r="AB87" i="56"/>
  <c r="N167" i="56" s="1"/>
  <c r="N166" i="56" s="1"/>
  <c r="H165" i="56"/>
  <c r="G165" i="56" s="1"/>
  <c r="F165" i="56" s="1"/>
  <c r="H164" i="56"/>
  <c r="G164" i="56" s="1"/>
  <c r="F164" i="56" s="1"/>
  <c r="N163" i="56"/>
  <c r="H163" i="56"/>
  <c r="G163" i="56" s="1"/>
  <c r="Y87" i="56"/>
  <c r="N170" i="56" s="1"/>
  <c r="L64" i="56"/>
  <c r="G13" i="56"/>
  <c r="G11" i="56"/>
  <c r="F166" i="56" l="1"/>
  <c r="F167" i="56"/>
  <c r="F163" i="56"/>
  <c r="E18" i="49"/>
  <c r="P100" i="56"/>
  <c r="O19" i="56"/>
  <c r="O75" i="56"/>
  <c r="O73" i="56"/>
  <c r="O72" i="56"/>
  <c r="O71" i="56"/>
  <c r="O69" i="56"/>
  <c r="O39" i="56"/>
  <c r="O38" i="56"/>
  <c r="O37" i="56"/>
  <c r="O36" i="56"/>
  <c r="O35" i="56"/>
  <c r="O31" i="56"/>
  <c r="O30" i="56"/>
  <c r="O29" i="56"/>
  <c r="O26" i="56"/>
  <c r="O25" i="56"/>
  <c r="O24" i="56"/>
  <c r="O23" i="56"/>
  <c r="O22" i="56"/>
  <c r="O17" i="56"/>
  <c r="O70" i="56"/>
  <c r="CJ94" i="57"/>
  <c r="CL59" i="57"/>
  <c r="W14" i="56"/>
  <c r="W9" i="56"/>
  <c r="G81" i="49"/>
  <c r="T40" i="56" l="1"/>
  <c r="N40" i="56" s="1"/>
  <c r="S70" i="56"/>
  <c r="N184" i="56"/>
  <c r="L32" i="56"/>
  <c r="H171" i="56"/>
  <c r="G171" i="56" s="1"/>
  <c r="F171" i="56" s="1"/>
  <c r="H170" i="56"/>
  <c r="G170" i="56" s="1"/>
  <c r="F170" i="56" s="1"/>
  <c r="N169" i="56"/>
  <c r="H169" i="56"/>
  <c r="G169" i="56" s="1"/>
  <c r="W87" i="56"/>
  <c r="N161" i="56" s="1"/>
  <c r="T87" i="56"/>
  <c r="J15" i="56"/>
  <c r="M15" i="56"/>
  <c r="F169" i="56" l="1"/>
  <c r="O175" i="56"/>
  <c r="N74" i="56"/>
  <c r="N73" i="56"/>
  <c r="N64" i="56"/>
  <c r="N59" i="56"/>
  <c r="N58" i="56"/>
  <c r="N57" i="56"/>
  <c r="N56" i="56"/>
  <c r="N55" i="56"/>
  <c r="N54" i="56"/>
  <c r="N48" i="56"/>
  <c r="N47" i="56"/>
  <c r="N39" i="56"/>
  <c r="N38" i="56"/>
  <c r="N36" i="56"/>
  <c r="N35" i="56"/>
  <c r="N32" i="56"/>
  <c r="N31" i="56"/>
  <c r="N30" i="56"/>
  <c r="N29" i="56"/>
  <c r="N26" i="56"/>
  <c r="N18" i="56"/>
  <c r="N19" i="56"/>
  <c r="N17" i="56"/>
  <c r="N10" i="56"/>
  <c r="N11" i="56"/>
  <c r="N13" i="56"/>
  <c r="H157" i="56" l="1"/>
  <c r="G157" i="56"/>
  <c r="F157" i="56" s="1"/>
  <c r="O34" i="56"/>
  <c r="K39" i="56"/>
  <c r="H39" i="56"/>
  <c r="K35" i="56"/>
  <c r="G35" i="56" s="1"/>
  <c r="I37" i="56"/>
  <c r="F35" i="56" l="1"/>
  <c r="O33" i="56"/>
  <c r="O27" i="56"/>
  <c r="G39" i="56"/>
  <c r="F39" i="56" s="1"/>
  <c r="CL60" i="57"/>
  <c r="G9" i="56" l="1"/>
  <c r="F117" i="56" l="1"/>
  <c r="F116" i="56" s="1"/>
  <c r="H124" i="56" l="1"/>
  <c r="G124" i="56" s="1"/>
  <c r="U87" i="56"/>
  <c r="N124" i="56" l="1"/>
  <c r="N123" i="56" l="1"/>
  <c r="F124" i="56"/>
  <c r="H153" i="56"/>
  <c r="G153" i="56" s="1"/>
  <c r="AC87" i="56"/>
  <c r="N153" i="56" s="1"/>
  <c r="N152" i="56" l="1"/>
  <c r="F153" i="56"/>
  <c r="R25" i="56"/>
  <c r="CL138" i="58"/>
  <c r="N25" i="56" l="1"/>
  <c r="F25" i="56" s="1"/>
  <c r="G58" i="56"/>
  <c r="L58" i="56" s="1"/>
  <c r="O182" i="56" l="1"/>
  <c r="P182" i="56"/>
  <c r="L182" i="56"/>
  <c r="K182" i="56"/>
  <c r="I182" i="56"/>
  <c r="G182" i="56"/>
  <c r="H182" i="56"/>
  <c r="H149" i="56"/>
  <c r="G149" i="56" s="1"/>
  <c r="L94" i="56" l="1"/>
  <c r="K94" i="56"/>
  <c r="I94" i="56"/>
  <c r="H94" i="56" s="1"/>
  <c r="G94" i="56" s="1"/>
  <c r="D12" i="75"/>
  <c r="D13" i="75"/>
  <c r="D14" i="75"/>
  <c r="D15" i="75"/>
  <c r="D16" i="75"/>
  <c r="D17" i="75"/>
  <c r="D18" i="75"/>
  <c r="D19" i="75"/>
  <c r="D20" i="75"/>
  <c r="D21" i="75"/>
  <c r="D22" i="75"/>
  <c r="O4" i="65"/>
  <c r="O8" i="65" s="1"/>
  <c r="O5" i="65"/>
  <c r="O6" i="65"/>
  <c r="O7" i="65"/>
  <c r="O9" i="65"/>
  <c r="O10" i="65"/>
  <c r="O11" i="65"/>
  <c r="O12" i="65"/>
  <c r="O13" i="65"/>
  <c r="O15" i="65"/>
  <c r="O16" i="65"/>
  <c r="O17" i="65"/>
  <c r="O18" i="65"/>
  <c r="O19" i="65"/>
  <c r="O20" i="65"/>
  <c r="F23" i="75"/>
  <c r="C23" i="75"/>
  <c r="D11" i="75"/>
  <c r="D10" i="75"/>
  <c r="D9" i="75"/>
  <c r="D8" i="75"/>
  <c r="O14" i="65" l="1"/>
  <c r="O21" i="65"/>
  <c r="E23" i="75"/>
  <c r="D23" i="75"/>
  <c r="D8" i="73" l="1"/>
  <c r="E8" i="73" s="1"/>
  <c r="F8" i="73" s="1"/>
  <c r="D7" i="3"/>
  <c r="C9" i="73"/>
  <c r="D7" i="73"/>
  <c r="D9" i="73" s="1"/>
  <c r="G71" i="56" s="1"/>
  <c r="E7" i="73" l="1"/>
  <c r="F7" i="73" l="1"/>
  <c r="F9" i="73" s="1"/>
  <c r="E9" i="73"/>
  <c r="B48" i="13" l="1"/>
  <c r="E21" i="13" s="1"/>
  <c r="G36" i="56" s="1"/>
  <c r="H36" i="56"/>
  <c r="I33" i="56"/>
  <c r="E5" i="13"/>
  <c r="F14" i="21"/>
  <c r="G14" i="21" s="1"/>
  <c r="O7" i="25"/>
  <c r="O6" i="25"/>
  <c r="O5" i="25"/>
  <c r="J7" i="25"/>
  <c r="J6" i="25"/>
  <c r="J5" i="25"/>
  <c r="W46" i="67"/>
  <c r="T45" i="67"/>
  <c r="S45" i="67"/>
  <c r="S46" i="67" s="1"/>
  <c r="Q45" i="67"/>
  <c r="Q46" i="67" s="1"/>
  <c r="P45" i="67"/>
  <c r="O45" i="67"/>
  <c r="O46" i="67" s="1"/>
  <c r="M45" i="67"/>
  <c r="M46" i="67" s="1"/>
  <c r="K45" i="67"/>
  <c r="K46" i="67" s="1"/>
  <c r="I45" i="67"/>
  <c r="I46" i="67" s="1"/>
  <c r="G45" i="67"/>
  <c r="G46" i="67" s="1"/>
  <c r="E45" i="67"/>
  <c r="E46" i="67" s="1"/>
  <c r="C45" i="67"/>
  <c r="B45" i="67"/>
  <c r="N44" i="67"/>
  <c r="D44" i="67"/>
  <c r="AB44" i="67" s="1"/>
  <c r="D43" i="67"/>
  <c r="D45" i="67" s="1"/>
  <c r="P42" i="67"/>
  <c r="C42" i="67"/>
  <c r="J41" i="67"/>
  <c r="D41" i="67"/>
  <c r="AB41" i="67" s="1"/>
  <c r="D40" i="67"/>
  <c r="AB40" i="67" s="1"/>
  <c r="D39" i="67"/>
  <c r="AB39" i="67" s="1"/>
  <c r="B38" i="67"/>
  <c r="AB37" i="67"/>
  <c r="T37" i="67"/>
  <c r="N37" i="67"/>
  <c r="F37" i="67"/>
  <c r="D37" i="67"/>
  <c r="J37" i="67" s="1"/>
  <c r="T36" i="67"/>
  <c r="D36" i="67"/>
  <c r="D35" i="67"/>
  <c r="F35" i="67" s="1"/>
  <c r="D34" i="67"/>
  <c r="AB34" i="67" s="1"/>
  <c r="D33" i="67"/>
  <c r="AB33" i="67" s="1"/>
  <c r="D32" i="67"/>
  <c r="AB32" i="67" s="1"/>
  <c r="D31" i="67"/>
  <c r="AB31" i="67" s="1"/>
  <c r="D30" i="67"/>
  <c r="AB30" i="67" s="1"/>
  <c r="D29" i="67"/>
  <c r="D28" i="67"/>
  <c r="N28" i="67" s="1"/>
  <c r="D27" i="67"/>
  <c r="T25" i="67"/>
  <c r="C25" i="67"/>
  <c r="B25" i="67"/>
  <c r="D24" i="67"/>
  <c r="AB24" i="67" s="1"/>
  <c r="AB23" i="67"/>
  <c r="L23" i="67"/>
  <c r="D23" i="67"/>
  <c r="R23" i="67" s="1"/>
  <c r="D22" i="67"/>
  <c r="D21" i="67"/>
  <c r="F21" i="67" s="1"/>
  <c r="D20" i="67"/>
  <c r="D19" i="67"/>
  <c r="AB19" i="67" s="1"/>
  <c r="D18" i="67"/>
  <c r="AB18" i="67" s="1"/>
  <c r="D17" i="67"/>
  <c r="AB17" i="67" s="1"/>
  <c r="D16" i="67"/>
  <c r="AB16" i="67" s="1"/>
  <c r="D15" i="67"/>
  <c r="AB15" i="67" s="1"/>
  <c r="D14" i="67"/>
  <c r="AB14" i="67" s="1"/>
  <c r="T12" i="67"/>
  <c r="P12" i="67"/>
  <c r="C12" i="67"/>
  <c r="B12" i="67"/>
  <c r="AB11" i="67"/>
  <c r="D11" i="67"/>
  <c r="N11" i="67" s="1"/>
  <c r="D10" i="67"/>
  <c r="AB10" i="67" s="1"/>
  <c r="D9" i="67"/>
  <c r="N9" i="67" s="1"/>
  <c r="D8" i="67"/>
  <c r="AB8" i="67" s="1"/>
  <c r="I20" i="56"/>
  <c r="H10" i="56"/>
  <c r="H13" i="56"/>
  <c r="D8" i="65"/>
  <c r="D6" i="65"/>
  <c r="G6" i="55"/>
  <c r="H6" i="55" s="1"/>
  <c r="D6" i="55"/>
  <c r="AG87" i="56"/>
  <c r="AA9" i="64"/>
  <c r="AB9" i="64" s="1"/>
  <c r="AB10" i="64" s="1"/>
  <c r="AG9" i="64"/>
  <c r="AC9" i="64"/>
  <c r="AC10" i="64" s="1"/>
  <c r="Y9" i="64"/>
  <c r="Y10" i="64" s="1"/>
  <c r="V9" i="64"/>
  <c r="V10" i="64" s="1"/>
  <c r="R9" i="64"/>
  <c r="S9" i="64" s="1"/>
  <c r="S10" i="64" s="1"/>
  <c r="O9" i="64"/>
  <c r="P9" i="64" s="1"/>
  <c r="P10" i="64" s="1"/>
  <c r="M9" i="64"/>
  <c r="M10" i="64" s="1"/>
  <c r="I9" i="64"/>
  <c r="J9" i="64" s="1"/>
  <c r="F9" i="64"/>
  <c r="G9" i="64" s="1"/>
  <c r="D9" i="64"/>
  <c r="D10" i="64" s="1"/>
  <c r="AE10" i="64"/>
  <c r="U10" i="64"/>
  <c r="T10" i="64"/>
  <c r="Q10" i="64"/>
  <c r="O10" i="64"/>
  <c r="N10" i="64"/>
  <c r="L10" i="64"/>
  <c r="K10" i="64"/>
  <c r="H10" i="64"/>
  <c r="E10" i="64"/>
  <c r="C10" i="64"/>
  <c r="AG10" i="64"/>
  <c r="I10" i="64"/>
  <c r="F10" i="64"/>
  <c r="J21" i="67" l="1"/>
  <c r="J35" i="67"/>
  <c r="P46" i="67"/>
  <c r="F18" i="67"/>
  <c r="N21" i="67"/>
  <c r="N35" i="67"/>
  <c r="J9" i="67"/>
  <c r="J18" i="67"/>
  <c r="F33" i="67"/>
  <c r="F43" i="67"/>
  <c r="AB9" i="67"/>
  <c r="N18" i="67"/>
  <c r="J33" i="67"/>
  <c r="J39" i="67"/>
  <c r="AB12" i="67"/>
  <c r="N14" i="67"/>
  <c r="AB28" i="67"/>
  <c r="N33" i="67"/>
  <c r="J44" i="67"/>
  <c r="F8" i="67"/>
  <c r="F40" i="67"/>
  <c r="J8" i="67"/>
  <c r="F16" i="67"/>
  <c r="AB21" i="67"/>
  <c r="F24" i="67"/>
  <c r="F31" i="67"/>
  <c r="J40" i="67"/>
  <c r="R8" i="67"/>
  <c r="F11" i="67"/>
  <c r="X11" i="67" s="1"/>
  <c r="J16" i="67"/>
  <c r="J24" i="67"/>
  <c r="F28" i="67"/>
  <c r="J31" i="67"/>
  <c r="N40" i="67"/>
  <c r="X9" i="64"/>
  <c r="X10" i="64" s="1"/>
  <c r="J11" i="67"/>
  <c r="F14" i="67"/>
  <c r="N16" i="67"/>
  <c r="N24" i="67"/>
  <c r="J28" i="67"/>
  <c r="N31" i="67"/>
  <c r="F34" i="67"/>
  <c r="T42" i="67"/>
  <c r="T46" i="67" s="1"/>
  <c r="J43" i="67"/>
  <c r="J45" i="67" s="1"/>
  <c r="F9" i="67"/>
  <c r="J14" i="67"/>
  <c r="H23" i="67"/>
  <c r="J34" i="67"/>
  <c r="F39" i="67"/>
  <c r="F41" i="67"/>
  <c r="N43" i="67"/>
  <c r="N45" i="67" s="1"/>
  <c r="N182" i="56"/>
  <c r="F184" i="56"/>
  <c r="F182" i="56" s="1"/>
  <c r="E88" i="49" s="1"/>
  <c r="N34" i="67"/>
  <c r="R10" i="64"/>
  <c r="N39" i="67"/>
  <c r="N41" i="67"/>
  <c r="F44" i="67"/>
  <c r="F45" i="67" s="1"/>
  <c r="F36" i="56"/>
  <c r="L36" i="56"/>
  <c r="K36" i="56" s="1"/>
  <c r="D7" i="65"/>
  <c r="H10" i="67"/>
  <c r="L10" i="67"/>
  <c r="R10" i="67"/>
  <c r="D12" i="67"/>
  <c r="H15" i="67"/>
  <c r="L15" i="67"/>
  <c r="R15" i="67"/>
  <c r="H17" i="67"/>
  <c r="L17" i="67"/>
  <c r="R17" i="67"/>
  <c r="H19" i="67"/>
  <c r="L19" i="67"/>
  <c r="P19" i="67"/>
  <c r="AB20" i="67"/>
  <c r="N20" i="67"/>
  <c r="J20" i="67"/>
  <c r="F20" i="67"/>
  <c r="L20" i="67"/>
  <c r="AB22" i="67"/>
  <c r="N22" i="67"/>
  <c r="J22" i="67"/>
  <c r="F22" i="67"/>
  <c r="L22" i="67"/>
  <c r="C46" i="67"/>
  <c r="H8" i="67"/>
  <c r="N8" i="67"/>
  <c r="H9" i="67"/>
  <c r="L9" i="67"/>
  <c r="R9" i="67"/>
  <c r="F10" i="67"/>
  <c r="F12" i="67" s="1"/>
  <c r="J10" i="67"/>
  <c r="J12" i="67" s="1"/>
  <c r="N10" i="67"/>
  <c r="N12" i="67" s="1"/>
  <c r="H11" i="67"/>
  <c r="L11" i="67"/>
  <c r="R11" i="67"/>
  <c r="D25" i="67"/>
  <c r="H14" i="67"/>
  <c r="L14" i="67"/>
  <c r="R14" i="67"/>
  <c r="F15" i="67"/>
  <c r="J15" i="67"/>
  <c r="N15" i="67"/>
  <c r="H16" i="67"/>
  <c r="L16" i="67"/>
  <c r="R16" i="67"/>
  <c r="F17" i="67"/>
  <c r="J17" i="67"/>
  <c r="N17" i="67"/>
  <c r="H18" i="67"/>
  <c r="L18" i="67"/>
  <c r="R18" i="67"/>
  <c r="F19" i="67"/>
  <c r="J19" i="67"/>
  <c r="N19" i="67"/>
  <c r="R19" i="67"/>
  <c r="H20" i="67"/>
  <c r="R20" i="67"/>
  <c r="H22" i="67"/>
  <c r="R22" i="67"/>
  <c r="H27" i="67"/>
  <c r="L27" i="67"/>
  <c r="R27" i="67"/>
  <c r="H29" i="67"/>
  <c r="L29" i="67"/>
  <c r="R29" i="67"/>
  <c r="AB29" i="67"/>
  <c r="H30" i="67"/>
  <c r="L30" i="67"/>
  <c r="R30" i="67"/>
  <c r="H32" i="67"/>
  <c r="L32" i="67"/>
  <c r="R32" i="67"/>
  <c r="AB36" i="67"/>
  <c r="N36" i="67"/>
  <c r="J36" i="67"/>
  <c r="F36" i="67"/>
  <c r="L36" i="67"/>
  <c r="H21" i="67"/>
  <c r="L21" i="67"/>
  <c r="R21" i="67"/>
  <c r="J23" i="67"/>
  <c r="N23" i="67"/>
  <c r="H24" i="67"/>
  <c r="L24" i="67"/>
  <c r="R24" i="67"/>
  <c r="F27" i="67"/>
  <c r="J27" i="67"/>
  <c r="N27" i="67"/>
  <c r="U27" i="67"/>
  <c r="AB27" i="67"/>
  <c r="H28" i="67"/>
  <c r="L28" i="67"/>
  <c r="R28" i="67"/>
  <c r="F29" i="67"/>
  <c r="J29" i="67"/>
  <c r="N29" i="67"/>
  <c r="U29" i="67"/>
  <c r="F30" i="67"/>
  <c r="J30" i="67"/>
  <c r="N30" i="67"/>
  <c r="H31" i="67"/>
  <c r="L31" i="67"/>
  <c r="R31" i="67"/>
  <c r="F32" i="67"/>
  <c r="J32" i="67"/>
  <c r="N32" i="67"/>
  <c r="H33" i="67"/>
  <c r="L33" i="67"/>
  <c r="R33" i="67"/>
  <c r="H34" i="67"/>
  <c r="L34" i="67"/>
  <c r="R34" i="67"/>
  <c r="H35" i="67"/>
  <c r="L35" i="67"/>
  <c r="R35" i="67"/>
  <c r="AB35" i="67"/>
  <c r="H36" i="67"/>
  <c r="R36" i="67"/>
  <c r="B42" i="67"/>
  <c r="B46" i="67" s="1"/>
  <c r="D38" i="67"/>
  <c r="H37" i="67"/>
  <c r="U37" i="67" s="1"/>
  <c r="L37" i="67"/>
  <c r="R37" i="67"/>
  <c r="H39" i="67"/>
  <c r="L39" i="67"/>
  <c r="R39" i="67"/>
  <c r="H40" i="67"/>
  <c r="L40" i="67"/>
  <c r="R40" i="67"/>
  <c r="H41" i="67"/>
  <c r="L41" i="67"/>
  <c r="R41" i="67"/>
  <c r="H43" i="67"/>
  <c r="L43" i="67"/>
  <c r="R43" i="67"/>
  <c r="AB43" i="67"/>
  <c r="AB45" i="67" s="1"/>
  <c r="H44" i="67"/>
  <c r="L44" i="67"/>
  <c r="R44" i="67"/>
  <c r="W9" i="64"/>
  <c r="J10" i="64"/>
  <c r="AD10" i="64"/>
  <c r="U8" i="67" l="1"/>
  <c r="U17" i="67"/>
  <c r="AB25" i="67"/>
  <c r="U16" i="67"/>
  <c r="U40" i="67"/>
  <c r="U30" i="67"/>
  <c r="X30" i="67" s="1"/>
  <c r="U22" i="67"/>
  <c r="X22" i="67" s="1"/>
  <c r="AA22" i="67" s="1"/>
  <c r="AC22" i="67" s="1"/>
  <c r="N25" i="67"/>
  <c r="U20" i="67"/>
  <c r="J25" i="67"/>
  <c r="U35" i="67"/>
  <c r="U36" i="67"/>
  <c r="V36" i="67" s="1"/>
  <c r="Z36" i="67" s="1"/>
  <c r="F25" i="67"/>
  <c r="Z11" i="67"/>
  <c r="AA11" i="67" s="1"/>
  <c r="AC11" i="67" s="1"/>
  <c r="U34" i="67"/>
  <c r="V34" i="67" s="1"/>
  <c r="Z34" i="67" s="1"/>
  <c r="Z9" i="64"/>
  <c r="AH9" i="64" s="1"/>
  <c r="AI9" i="64" s="1"/>
  <c r="W10" i="64"/>
  <c r="U21" i="67"/>
  <c r="Z10" i="67"/>
  <c r="U44" i="67"/>
  <c r="V44" i="67" s="1"/>
  <c r="Z44" i="67" s="1"/>
  <c r="V40" i="67"/>
  <c r="Z40" i="67" s="1"/>
  <c r="X21" i="67"/>
  <c r="Z21" i="67"/>
  <c r="Z22" i="67"/>
  <c r="Z20" i="67"/>
  <c r="X20" i="67"/>
  <c r="X16" i="67"/>
  <c r="Z16" i="67"/>
  <c r="V35" i="67"/>
  <c r="X35" i="67" s="1"/>
  <c r="R45" i="67"/>
  <c r="U43" i="67"/>
  <c r="L45" i="67"/>
  <c r="U41" i="67"/>
  <c r="U39" i="67"/>
  <c r="U32" i="67"/>
  <c r="U33" i="67"/>
  <c r="U31" i="67"/>
  <c r="U24" i="67"/>
  <c r="U15" i="67"/>
  <c r="L25" i="67"/>
  <c r="U10" i="67"/>
  <c r="X9" i="67"/>
  <c r="L12" i="67"/>
  <c r="Z8" i="67"/>
  <c r="U28" i="67"/>
  <c r="U19" i="67"/>
  <c r="U11" i="67"/>
  <c r="U12" i="67" s="1"/>
  <c r="X10" i="67"/>
  <c r="U9" i="67"/>
  <c r="U18" i="67"/>
  <c r="AA16" i="67"/>
  <c r="AC16" i="67" s="1"/>
  <c r="Z9" i="67"/>
  <c r="H45" i="67"/>
  <c r="V37" i="67"/>
  <c r="Z37" i="67" s="1"/>
  <c r="AB38" i="67"/>
  <c r="AB42" i="67" s="1"/>
  <c r="AB46" i="67" s="1"/>
  <c r="R38" i="67"/>
  <c r="R42" i="67" s="1"/>
  <c r="L38" i="67"/>
  <c r="H38" i="67"/>
  <c r="H42" i="67" s="1"/>
  <c r="J38" i="67"/>
  <c r="N38" i="67"/>
  <c r="N42" i="67" s="1"/>
  <c r="F38" i="67"/>
  <c r="Z30" i="67"/>
  <c r="V29" i="67"/>
  <c r="Z27" i="67"/>
  <c r="X27" i="67"/>
  <c r="J42" i="67"/>
  <c r="J46" i="67" s="1"/>
  <c r="L42" i="67"/>
  <c r="D42" i="67"/>
  <c r="D46" i="67" s="1"/>
  <c r="U23" i="67"/>
  <c r="Z17" i="67"/>
  <c r="X17" i="67"/>
  <c r="AA17" i="67" s="1"/>
  <c r="AC17" i="67" s="1"/>
  <c r="R25" i="67"/>
  <c r="H25" i="67"/>
  <c r="U14" i="67"/>
  <c r="AA10" i="67"/>
  <c r="AC10" i="67" s="1"/>
  <c r="R12" i="67"/>
  <c r="H12" i="67"/>
  <c r="X8" i="67"/>
  <c r="X12" i="67" s="1"/>
  <c r="G10" i="64"/>
  <c r="AA21" i="67" l="1"/>
  <c r="AC21" i="67" s="1"/>
  <c r="N46" i="67"/>
  <c r="Z35" i="67"/>
  <c r="AA9" i="67"/>
  <c r="AC9" i="67" s="1"/>
  <c r="AA30" i="67"/>
  <c r="AC30" i="67" s="1"/>
  <c r="X36" i="67"/>
  <c r="AA36" i="67" s="1"/>
  <c r="AC36" i="67" s="1"/>
  <c r="H46" i="67"/>
  <c r="Z23" i="67"/>
  <c r="X23" i="67"/>
  <c r="X29" i="67"/>
  <c r="U38" i="67"/>
  <c r="X37" i="67"/>
  <c r="AA37" i="67" s="1"/>
  <c r="AC37" i="67" s="1"/>
  <c r="V19" i="67"/>
  <c r="Z19" i="67" s="1"/>
  <c r="X19" i="67"/>
  <c r="Z12" i="67"/>
  <c r="Z15" i="67"/>
  <c r="X15" i="67"/>
  <c r="X24" i="67"/>
  <c r="Z24" i="67"/>
  <c r="F42" i="67"/>
  <c r="F46" i="67" s="1"/>
  <c r="V39" i="67"/>
  <c r="Z39" i="67" s="1"/>
  <c r="AA35" i="67"/>
  <c r="AC35" i="67" s="1"/>
  <c r="U25" i="67"/>
  <c r="X14" i="67"/>
  <c r="Z14" i="67"/>
  <c r="R46" i="67"/>
  <c r="AA27" i="67"/>
  <c r="Z29" i="67"/>
  <c r="X18" i="67"/>
  <c r="Z18" i="67"/>
  <c r="X28" i="67"/>
  <c r="Z28" i="67"/>
  <c r="L46" i="67"/>
  <c r="X31" i="67"/>
  <c r="Z31" i="67"/>
  <c r="V33" i="67"/>
  <c r="Z33" i="67" s="1"/>
  <c r="Z32" i="67"/>
  <c r="X32" i="67"/>
  <c r="V41" i="67"/>
  <c r="Z41" i="67" s="1"/>
  <c r="X41" i="67"/>
  <c r="V43" i="67"/>
  <c r="V45" i="67" s="1"/>
  <c r="U45" i="67"/>
  <c r="AA8" i="67"/>
  <c r="X44" i="67"/>
  <c r="AA44" i="67" s="1"/>
  <c r="AC44" i="67" s="1"/>
  <c r="AA20" i="67"/>
  <c r="AC20" i="67" s="1"/>
  <c r="X34" i="67"/>
  <c r="AA34" i="67" s="1"/>
  <c r="AC34" i="67" s="1"/>
  <c r="X40" i="67"/>
  <c r="AA40" i="67" s="1"/>
  <c r="AC40" i="67" s="1"/>
  <c r="Z10" i="64"/>
  <c r="AH10" i="64" s="1"/>
  <c r="AA28" i="67" l="1"/>
  <c r="AC28" i="67" s="1"/>
  <c r="AA24" i="67"/>
  <c r="AC24" i="67" s="1"/>
  <c r="AA23" i="67"/>
  <c r="AC23" i="67" s="1"/>
  <c r="AA18" i="67"/>
  <c r="AC18" i="67" s="1"/>
  <c r="X43" i="67"/>
  <c r="AA41" i="67"/>
  <c r="AC41" i="67" s="1"/>
  <c r="X25" i="67"/>
  <c r="AA14" i="67"/>
  <c r="AA19" i="67"/>
  <c r="AC19" i="67" s="1"/>
  <c r="V38" i="67"/>
  <c r="Z38" i="67" s="1"/>
  <c r="Z42" i="67" s="1"/>
  <c r="U42" i="67"/>
  <c r="U46" i="67" s="1"/>
  <c r="X45" i="67"/>
  <c r="AA12" i="67"/>
  <c r="AC8" i="67"/>
  <c r="AC12" i="67" s="1"/>
  <c r="Z43" i="67"/>
  <c r="Z45" i="67" s="1"/>
  <c r="AA32" i="67"/>
  <c r="AC32" i="67" s="1"/>
  <c r="X33" i="67"/>
  <c r="AA33" i="67" s="1"/>
  <c r="AC33" i="67" s="1"/>
  <c r="AA31" i="67"/>
  <c r="AC31" i="67" s="1"/>
  <c r="AC27" i="67"/>
  <c r="Z25" i="67"/>
  <c r="X39" i="67"/>
  <c r="AA39" i="67" s="1"/>
  <c r="AC39" i="67" s="1"/>
  <c r="AA15" i="67"/>
  <c r="AC15" i="67" s="1"/>
  <c r="AA29" i="67"/>
  <c r="AC29" i="67" s="1"/>
  <c r="E9" i="62"/>
  <c r="C9" i="62"/>
  <c r="H7" i="62"/>
  <c r="H6" i="62"/>
  <c r="H5" i="62"/>
  <c r="S71" i="56"/>
  <c r="N71" i="56" s="1"/>
  <c r="S72" i="56"/>
  <c r="N72" i="56" s="1"/>
  <c r="S69" i="56"/>
  <c r="N69" i="56" s="1"/>
  <c r="F21" i="61"/>
  <c r="C21" i="61"/>
  <c r="C16" i="61"/>
  <c r="B16" i="61"/>
  <c r="D10" i="61"/>
  <c r="C10" i="61"/>
  <c r="B10" i="61"/>
  <c r="E9" i="61"/>
  <c r="F9" i="61" s="1"/>
  <c r="G9" i="61" s="1"/>
  <c r="E8" i="61"/>
  <c r="F8" i="61" s="1"/>
  <c r="G8" i="61" s="1"/>
  <c r="E7" i="61"/>
  <c r="F7" i="61" s="1"/>
  <c r="G6" i="61"/>
  <c r="Q10" i="60"/>
  <c r="M10" i="60"/>
  <c r="E10" i="60"/>
  <c r="Q9" i="60"/>
  <c r="M9" i="60"/>
  <c r="E9" i="60"/>
  <c r="Q8" i="60"/>
  <c r="M8" i="60"/>
  <c r="E8" i="60"/>
  <c r="Q7" i="60"/>
  <c r="M7" i="60"/>
  <c r="E7" i="60"/>
  <c r="Q6" i="60"/>
  <c r="M6" i="60"/>
  <c r="E6" i="60"/>
  <c r="Q5" i="60"/>
  <c r="M5" i="60"/>
  <c r="E5" i="60"/>
  <c r="E29" i="59"/>
  <c r="E23" i="59"/>
  <c r="E18" i="59"/>
  <c r="F9" i="62" l="1"/>
  <c r="X38" i="67"/>
  <c r="X42" i="67" s="1"/>
  <c r="X46" i="67" s="1"/>
  <c r="V42" i="67"/>
  <c r="V46" i="67" s="1"/>
  <c r="Z46" i="67"/>
  <c r="AA38" i="67"/>
  <c r="AC38" i="67" s="1"/>
  <c r="AC42" i="67" s="1"/>
  <c r="AA43" i="67"/>
  <c r="AA25" i="67"/>
  <c r="AC14" i="67"/>
  <c r="AC25" i="67" s="1"/>
  <c r="F10" i="61"/>
  <c r="G7" i="61"/>
  <c r="G10" i="61" s="1"/>
  <c r="E10" i="61"/>
  <c r="H150" i="56"/>
  <c r="G150" i="56" s="1"/>
  <c r="F150" i="56" s="1"/>
  <c r="AA45" i="67" l="1"/>
  <c r="AC43" i="67"/>
  <c r="AC45" i="67" s="1"/>
  <c r="AA42" i="67"/>
  <c r="AA46" i="67" s="1"/>
  <c r="AC46" i="67" l="1"/>
  <c r="C25" i="68"/>
  <c r="AF87" i="56"/>
  <c r="C36" i="68" l="1"/>
  <c r="D36" i="68" s="1"/>
  <c r="C33" i="68"/>
  <c r="D33" i="68" s="1"/>
  <c r="D25" i="68"/>
  <c r="C30" i="68"/>
  <c r="D30" i="68" s="1"/>
  <c r="C6" i="68"/>
  <c r="E23" i="49"/>
  <c r="C17" i="68" l="1"/>
  <c r="D17" i="68" s="1"/>
  <c r="D6" i="68"/>
  <c r="C11" i="68"/>
  <c r="D11" i="68" s="1"/>
  <c r="C14" i="68"/>
  <c r="D14" i="68" s="1"/>
  <c r="D37" i="68"/>
  <c r="R23" i="56"/>
  <c r="N23" i="56" s="1"/>
  <c r="R24" i="56"/>
  <c r="N24" i="56" s="1"/>
  <c r="R22" i="56"/>
  <c r="N22" i="56" s="1"/>
  <c r="CJ97" i="58"/>
  <c r="N50" i="56" s="1"/>
  <c r="CJ117" i="58"/>
  <c r="AA70" i="56"/>
  <c r="N70" i="56" s="1"/>
  <c r="AA75" i="56"/>
  <c r="N75" i="56" s="1"/>
  <c r="AA37" i="56"/>
  <c r="AA14" i="56"/>
  <c r="AA9" i="56"/>
  <c r="N9" i="56" s="1"/>
  <c r="D6" i="9"/>
  <c r="D5" i="9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" i="8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5" i="7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5" i="2"/>
  <c r="D6" i="11"/>
  <c r="D7" i="11"/>
  <c r="D5" i="11"/>
  <c r="E6" i="13"/>
  <c r="E7" i="13"/>
  <c r="E11" i="13"/>
  <c r="E8" i="13"/>
  <c r="E9" i="13"/>
  <c r="E10" i="13"/>
  <c r="E12" i="13"/>
  <c r="E13" i="13"/>
  <c r="E14" i="13"/>
  <c r="E6" i="21"/>
  <c r="E7" i="21"/>
  <c r="E8" i="21"/>
  <c r="E5" i="21"/>
  <c r="E5" i="29"/>
  <c r="G72" i="56"/>
  <c r="G70" i="56"/>
  <c r="G38" i="56"/>
  <c r="I7" i="56"/>
  <c r="Q12" i="56" l="1"/>
  <c r="N12" i="56" s="1"/>
  <c r="F12" i="56" s="1"/>
  <c r="N67" i="56"/>
  <c r="D56" i="8"/>
  <c r="H5" i="29"/>
  <c r="G29" i="56" s="1"/>
  <c r="D18" i="68"/>
  <c r="F9" i="56"/>
  <c r="CJ155" i="58"/>
  <c r="CJ154" i="58"/>
  <c r="CL146" i="58"/>
  <c r="AE37" i="56" s="1"/>
  <c r="AE87" i="56" s="1"/>
  <c r="N134" i="56" s="1"/>
  <c r="N133" i="56" s="1"/>
  <c r="CJ126" i="58"/>
  <c r="BD125" i="58"/>
  <c r="BD124" i="58"/>
  <c r="CJ108" i="58"/>
  <c r="CJ107" i="58"/>
  <c r="CJ106" i="58"/>
  <c r="BW83" i="58"/>
  <c r="BW86" i="58" s="1"/>
  <c r="CM86" i="58" s="1"/>
  <c r="BW80" i="58"/>
  <c r="CM80" i="58" s="1"/>
  <c r="DE78" i="58"/>
  <c r="CM75" i="58"/>
  <c r="CM65" i="58"/>
  <c r="BW65" i="58"/>
  <c r="BW68" i="58" s="1"/>
  <c r="CM68" i="58" s="1"/>
  <c r="BW62" i="58"/>
  <c r="CM62" i="58" s="1"/>
  <c r="DE60" i="58"/>
  <c r="CM57" i="58"/>
  <c r="CJ42" i="58"/>
  <c r="BW28" i="58"/>
  <c r="CM28" i="58" s="1"/>
  <c r="BW25" i="58"/>
  <c r="CM25" i="58" s="1"/>
  <c r="BW22" i="58"/>
  <c r="CM22" i="58" s="1"/>
  <c r="CM17" i="58"/>
  <c r="CJ7" i="58"/>
  <c r="CJ9" i="58" s="1"/>
  <c r="CJ75" i="57"/>
  <c r="CJ76" i="57" s="1"/>
  <c r="CJ68" i="57"/>
  <c r="G19" i="56" s="1"/>
  <c r="F19" i="56" s="1"/>
  <c r="BW36" i="57"/>
  <c r="CM36" i="57" s="1"/>
  <c r="CJ17" i="57"/>
  <c r="CJ18" i="57" s="1"/>
  <c r="CJ7" i="57"/>
  <c r="L185" i="56"/>
  <c r="I185" i="56"/>
  <c r="H173" i="56"/>
  <c r="G173" i="56" s="1"/>
  <c r="F173" i="56" s="1"/>
  <c r="H172" i="56"/>
  <c r="G172" i="56" s="1"/>
  <c r="F172" i="56" s="1"/>
  <c r="H162" i="56"/>
  <c r="G162" i="56" s="1"/>
  <c r="F162" i="56" s="1"/>
  <c r="H161" i="56"/>
  <c r="G161" i="56" s="1"/>
  <c r="F161" i="56" s="1"/>
  <c r="N160" i="56"/>
  <c r="H160" i="56"/>
  <c r="G160" i="56" s="1"/>
  <c r="H159" i="56"/>
  <c r="G159" i="56" s="1"/>
  <c r="F159" i="56" s="1"/>
  <c r="H158" i="56"/>
  <c r="G158" i="56" s="1"/>
  <c r="H156" i="56"/>
  <c r="G156" i="56" s="1"/>
  <c r="H155" i="56"/>
  <c r="G155" i="56" s="1"/>
  <c r="F155" i="56" s="1"/>
  <c r="H154" i="56"/>
  <c r="G154" i="56" s="1"/>
  <c r="F154" i="56" s="1"/>
  <c r="H152" i="56"/>
  <c r="G152" i="56" s="1"/>
  <c r="F152" i="56" s="1"/>
  <c r="H151" i="56"/>
  <c r="G151" i="56" s="1"/>
  <c r="F151" i="56" s="1"/>
  <c r="H148" i="56"/>
  <c r="G148" i="56" s="1"/>
  <c r="H147" i="56"/>
  <c r="G147" i="56" s="1"/>
  <c r="F147" i="56" s="1"/>
  <c r="H146" i="56"/>
  <c r="G146" i="56" s="1"/>
  <c r="H145" i="56"/>
  <c r="G145" i="56" s="1"/>
  <c r="H144" i="56"/>
  <c r="G144" i="56" s="1"/>
  <c r="F144" i="56" s="1"/>
  <c r="H143" i="56"/>
  <c r="G143" i="56" s="1"/>
  <c r="H142" i="56"/>
  <c r="G142" i="56" s="1"/>
  <c r="H141" i="56"/>
  <c r="G141" i="56" s="1"/>
  <c r="F141" i="56" s="1"/>
  <c r="H140" i="56"/>
  <c r="G140" i="56" s="1"/>
  <c r="H139" i="56"/>
  <c r="G139" i="56" s="1"/>
  <c r="H138" i="56"/>
  <c r="G138" i="56" s="1"/>
  <c r="F138" i="56" s="1"/>
  <c r="H137" i="56"/>
  <c r="G137" i="56" s="1"/>
  <c r="F137" i="56" s="1"/>
  <c r="N136" i="56"/>
  <c r="H136" i="56"/>
  <c r="G136" i="56" s="1"/>
  <c r="H135" i="56"/>
  <c r="G135" i="56" s="1"/>
  <c r="F135" i="56" s="1"/>
  <c r="H134" i="56"/>
  <c r="G134" i="56" s="1"/>
  <c r="H133" i="56"/>
  <c r="G133" i="56" s="1"/>
  <c r="H132" i="56"/>
  <c r="G132" i="56" s="1"/>
  <c r="F132" i="56" s="1"/>
  <c r="H131" i="56"/>
  <c r="G131" i="56" s="1"/>
  <c r="H130" i="56"/>
  <c r="G130" i="56" s="1"/>
  <c r="H129" i="56"/>
  <c r="G129" i="56" s="1"/>
  <c r="F129" i="56" s="1"/>
  <c r="H128" i="56"/>
  <c r="G128" i="56" s="1"/>
  <c r="H127" i="56"/>
  <c r="G127" i="56" s="1"/>
  <c r="H126" i="56"/>
  <c r="G126" i="56" s="1"/>
  <c r="F126" i="56" s="1"/>
  <c r="H125" i="56"/>
  <c r="G125" i="56" s="1"/>
  <c r="F125" i="56" s="1"/>
  <c r="H123" i="56"/>
  <c r="G123" i="56" s="1"/>
  <c r="H122" i="56"/>
  <c r="G122" i="56" s="1"/>
  <c r="F122" i="56" s="1"/>
  <c r="H121" i="56"/>
  <c r="G121" i="56" s="1"/>
  <c r="H120" i="56"/>
  <c r="G120" i="56" s="1"/>
  <c r="H118" i="56"/>
  <c r="G118" i="56" s="1"/>
  <c r="H113" i="56"/>
  <c r="G113" i="56" s="1"/>
  <c r="H106" i="56"/>
  <c r="H103" i="56"/>
  <c r="H102" i="56"/>
  <c r="M101" i="56"/>
  <c r="H100" i="56"/>
  <c r="M92" i="56"/>
  <c r="J92" i="56"/>
  <c r="AD87" i="56"/>
  <c r="N158" i="56" s="1"/>
  <c r="N156" i="56" s="1"/>
  <c r="X87" i="56"/>
  <c r="N131" i="56" s="1"/>
  <c r="N130" i="56" s="1"/>
  <c r="V87" i="56"/>
  <c r="N149" i="56" s="1"/>
  <c r="N94" i="56" s="1"/>
  <c r="Q87" i="56"/>
  <c r="N121" i="56" s="1"/>
  <c r="H75" i="56"/>
  <c r="H74" i="56"/>
  <c r="H73" i="56"/>
  <c r="H72" i="56"/>
  <c r="L72" i="56"/>
  <c r="K72" i="56" s="1"/>
  <c r="H71" i="56"/>
  <c r="L71" i="56"/>
  <c r="K71" i="56" s="1"/>
  <c r="H70" i="56"/>
  <c r="L70" i="56"/>
  <c r="H69" i="56"/>
  <c r="P67" i="56"/>
  <c r="O67" i="56"/>
  <c r="I67" i="56"/>
  <c r="H67" i="56" s="1"/>
  <c r="N61" i="56"/>
  <c r="H64" i="56"/>
  <c r="H63" i="56"/>
  <c r="P61" i="56"/>
  <c r="O61" i="56"/>
  <c r="I61" i="56"/>
  <c r="H61" i="56" s="1"/>
  <c r="H59" i="56"/>
  <c r="K58" i="56"/>
  <c r="H58" i="56"/>
  <c r="F58" i="56" s="1"/>
  <c r="E61" i="49" s="1"/>
  <c r="H55" i="56"/>
  <c r="H54" i="56"/>
  <c r="P52" i="56"/>
  <c r="O52" i="56"/>
  <c r="I52" i="56"/>
  <c r="H52" i="56" s="1"/>
  <c r="K50" i="56"/>
  <c r="H50" i="56"/>
  <c r="K49" i="56"/>
  <c r="H49" i="56"/>
  <c r="K48" i="56"/>
  <c r="H48" i="56"/>
  <c r="F48" i="56"/>
  <c r="K47" i="56"/>
  <c r="H47" i="56"/>
  <c r="F47" i="56"/>
  <c r="P44" i="56"/>
  <c r="O44" i="56"/>
  <c r="L44" i="56"/>
  <c r="K44" i="56" s="1"/>
  <c r="I44" i="56"/>
  <c r="H44" i="56" s="1"/>
  <c r="L40" i="56"/>
  <c r="K40" i="56" s="1"/>
  <c r="H40" i="56"/>
  <c r="F40" i="56"/>
  <c r="H38" i="56"/>
  <c r="L38" i="56"/>
  <c r="K38" i="56" s="1"/>
  <c r="H37" i="56"/>
  <c r="K32" i="56"/>
  <c r="H32" i="56"/>
  <c r="F31" i="56"/>
  <c r="H30" i="56"/>
  <c r="H29" i="56"/>
  <c r="N27" i="56"/>
  <c r="I27" i="56"/>
  <c r="I15" i="56" s="1"/>
  <c r="F26" i="56"/>
  <c r="F24" i="56"/>
  <c r="P20" i="56"/>
  <c r="P15" i="56" s="1"/>
  <c r="O20" i="56"/>
  <c r="O15" i="56" s="1"/>
  <c r="K20" i="56"/>
  <c r="H20" i="56"/>
  <c r="H19" i="56"/>
  <c r="H17" i="56"/>
  <c r="H14" i="56"/>
  <c r="K12" i="56"/>
  <c r="H12" i="56"/>
  <c r="H11" i="56"/>
  <c r="L10" i="56"/>
  <c r="K10" i="56" s="1"/>
  <c r="F10" i="56"/>
  <c r="H9" i="56"/>
  <c r="L9" i="56"/>
  <c r="P7" i="56"/>
  <c r="O7" i="56"/>
  <c r="H7" i="56"/>
  <c r="CJ11" i="57" l="1"/>
  <c r="L11" i="56" s="1"/>
  <c r="K11" i="56" s="1"/>
  <c r="F160" i="56"/>
  <c r="CJ109" i="58"/>
  <c r="Z49" i="56" s="1"/>
  <c r="N49" i="56" s="1"/>
  <c r="F136" i="56"/>
  <c r="F94" i="56"/>
  <c r="F149" i="56"/>
  <c r="N148" i="56"/>
  <c r="F148" i="56" s="1"/>
  <c r="G32" i="56"/>
  <c r="F32" i="56" s="1"/>
  <c r="E74" i="49" s="1"/>
  <c r="G44" i="56"/>
  <c r="N120" i="56"/>
  <c r="N37" i="56"/>
  <c r="N33" i="56" s="1"/>
  <c r="F134" i="56"/>
  <c r="F121" i="56"/>
  <c r="F156" i="56"/>
  <c r="F22" i="56"/>
  <c r="N20" i="56"/>
  <c r="F158" i="56"/>
  <c r="F131" i="56"/>
  <c r="F133" i="56"/>
  <c r="F50" i="56"/>
  <c r="F29" i="56"/>
  <c r="L29" i="56"/>
  <c r="CM69" i="58"/>
  <c r="DE63" i="58" s="1"/>
  <c r="CM83" i="58"/>
  <c r="CM87" i="58" s="1"/>
  <c r="DE81" i="58" s="1"/>
  <c r="H33" i="56"/>
  <c r="CJ156" i="58"/>
  <c r="E35" i="49"/>
  <c r="P60" i="56"/>
  <c r="P87" i="56" s="1"/>
  <c r="P98" i="56" s="1"/>
  <c r="P92" i="56" s="1"/>
  <c r="N60" i="56"/>
  <c r="F123" i="56"/>
  <c r="F130" i="56"/>
  <c r="O60" i="56"/>
  <c r="O87" i="56" s="1"/>
  <c r="H185" i="56"/>
  <c r="G185" i="56" s="1"/>
  <c r="F185" i="56" s="1"/>
  <c r="DE42" i="58"/>
  <c r="H60" i="56"/>
  <c r="AA87" i="56"/>
  <c r="N146" i="56" s="1"/>
  <c r="N145" i="56" s="1"/>
  <c r="F145" i="56" s="1"/>
  <c r="H27" i="56"/>
  <c r="L19" i="56"/>
  <c r="K19" i="56" s="1"/>
  <c r="CJ168" i="58"/>
  <c r="CM25" i="57"/>
  <c r="BW30" i="57"/>
  <c r="CM30" i="57" s="1"/>
  <c r="BW33" i="57"/>
  <c r="CM33" i="57" s="1"/>
  <c r="K9" i="56"/>
  <c r="F23" i="56"/>
  <c r="R87" i="56"/>
  <c r="N128" i="56" s="1"/>
  <c r="N127" i="56" s="1"/>
  <c r="F127" i="56" s="1"/>
  <c r="F38" i="56"/>
  <c r="K70" i="56"/>
  <c r="I60" i="56"/>
  <c r="F70" i="56"/>
  <c r="F71" i="56"/>
  <c r="F72" i="56"/>
  <c r="F120" i="56" l="1"/>
  <c r="F11" i="56"/>
  <c r="H15" i="56"/>
  <c r="K29" i="56"/>
  <c r="N14" i="56"/>
  <c r="N7" i="56" s="1"/>
  <c r="S87" i="56"/>
  <c r="N140" i="56" s="1"/>
  <c r="N15" i="56"/>
  <c r="O98" i="56"/>
  <c r="F98" i="56" s="1"/>
  <c r="Z87" i="56"/>
  <c r="N143" i="56" s="1"/>
  <c r="F128" i="56"/>
  <c r="F146" i="56"/>
  <c r="G14" i="56"/>
  <c r="DE174" i="58"/>
  <c r="DE176" i="58" s="1"/>
  <c r="F20" i="56"/>
  <c r="O92" i="56" l="1"/>
  <c r="O113" i="56" s="1"/>
  <c r="O102" i="56" s="1"/>
  <c r="O100" i="56" s="1"/>
  <c r="E8" i="49" s="1"/>
  <c r="N44" i="56"/>
  <c r="F44" i="56" s="1"/>
  <c r="F49" i="56"/>
  <c r="E57" i="49" s="1"/>
  <c r="G57" i="49" s="1"/>
  <c r="N142" i="56"/>
  <c r="F142" i="56" s="1"/>
  <c r="F143" i="56"/>
  <c r="N139" i="56"/>
  <c r="N118" i="56" s="1"/>
  <c r="F140" i="56"/>
  <c r="L13" i="56"/>
  <c r="K13" i="56" s="1"/>
  <c r="F13" i="56"/>
  <c r="E37" i="49" s="1"/>
  <c r="F14" i="56"/>
  <c r="E40" i="49" s="1"/>
  <c r="G7" i="56"/>
  <c r="F7" i="56" s="1"/>
  <c r="L14" i="56"/>
  <c r="I87" i="56"/>
  <c r="I175" i="56" s="1"/>
  <c r="H175" i="56" s="1"/>
  <c r="G175" i="56" s="1"/>
  <c r="F113" i="56" l="1"/>
  <c r="F175" i="56"/>
  <c r="E5" i="49" s="1"/>
  <c r="E52" i="49"/>
  <c r="N87" i="56"/>
  <c r="F139" i="56"/>
  <c r="K14" i="56"/>
  <c r="L7" i="56"/>
  <c r="I95" i="56"/>
  <c r="H87" i="56"/>
  <c r="N95" i="56" l="1"/>
  <c r="N92" i="56" s="1"/>
  <c r="K7" i="56"/>
  <c r="N100" i="56"/>
  <c r="E21" i="49" s="1"/>
  <c r="F118" i="56"/>
  <c r="H95" i="56"/>
  <c r="I92" i="56"/>
  <c r="H92" i="56" l="1"/>
  <c r="H30" i="50" l="1"/>
  <c r="H29" i="50" l="1"/>
  <c r="H11" i="50" l="1"/>
  <c r="H5" i="50"/>
  <c r="F39" i="49" l="1"/>
  <c r="F33" i="49" s="1"/>
  <c r="G39" i="49"/>
  <c r="F50" i="49"/>
  <c r="F49" i="49" s="1"/>
  <c r="G50" i="49"/>
  <c r="G49" i="49" s="1"/>
  <c r="F63" i="49"/>
  <c r="G63" i="49"/>
  <c r="F68" i="49"/>
  <c r="G68" i="49"/>
  <c r="F87" i="49"/>
  <c r="G87" i="49"/>
  <c r="F82" i="49"/>
  <c r="G82" i="49"/>
  <c r="F77" i="49"/>
  <c r="G77" i="49"/>
  <c r="H77" i="49"/>
  <c r="H70" i="49" s="1"/>
  <c r="E87" i="49"/>
  <c r="E82" i="49"/>
  <c r="E77" i="49"/>
  <c r="E68" i="49"/>
  <c r="E63" i="49"/>
  <c r="E50" i="49"/>
  <c r="E49" i="49" s="1"/>
  <c r="E39" i="49"/>
  <c r="F28" i="49"/>
  <c r="G28" i="49"/>
  <c r="H28" i="49"/>
  <c r="H11" i="49"/>
  <c r="F20" i="49"/>
  <c r="G20" i="49"/>
  <c r="H20" i="49"/>
  <c r="E20" i="49"/>
  <c r="E28" i="49"/>
  <c r="H7" i="49" l="1"/>
  <c r="E33" i="49"/>
  <c r="G33" i="49"/>
  <c r="F6" i="21" l="1"/>
  <c r="G6" i="21" s="1"/>
  <c r="F7" i="21"/>
  <c r="G7" i="21" s="1"/>
  <c r="F8" i="21"/>
  <c r="G8" i="21" s="1"/>
  <c r="F5" i="21"/>
  <c r="G5" i="21" s="1"/>
  <c r="E6" i="11"/>
  <c r="F6" i="11" s="1"/>
  <c r="E7" i="11"/>
  <c r="F7" i="11" s="1"/>
  <c r="E5" i="11"/>
  <c r="F5" i="11" s="1"/>
  <c r="E6" i="9" l="1"/>
  <c r="F6" i="9" s="1"/>
  <c r="E5" i="9"/>
  <c r="F5" i="9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" i="8"/>
  <c r="F5" i="8" s="1"/>
  <c r="E6" i="7"/>
  <c r="F6" i="7" s="1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5" i="7"/>
  <c r="F5" i="7" s="1"/>
  <c r="E6" i="2" l="1"/>
  <c r="F6" i="2" s="1"/>
  <c r="E7" i="2"/>
  <c r="F7" i="2"/>
  <c r="E8" i="2"/>
  <c r="F8" i="2" s="1"/>
  <c r="E9" i="2"/>
  <c r="F9" i="2" s="1"/>
  <c r="E10" i="2"/>
  <c r="F10" i="2" s="1"/>
  <c r="E11" i="2"/>
  <c r="F11" i="2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/>
  <c r="E19" i="2"/>
  <c r="F19" i="2" s="1"/>
  <c r="E20" i="2"/>
  <c r="F20" i="2" s="1"/>
  <c r="E5" i="2"/>
  <c r="F5" i="2" s="1"/>
  <c r="E6" i="20"/>
  <c r="F6" i="20" s="1"/>
  <c r="G6" i="20" s="1"/>
  <c r="E7" i="20"/>
  <c r="F7" i="20" s="1"/>
  <c r="G7" i="20" s="1"/>
  <c r="E8" i="20"/>
  <c r="F8" i="20" s="1"/>
  <c r="G8" i="20" s="1"/>
  <c r="E5" i="20"/>
  <c r="E7" i="29"/>
  <c r="H7" i="29" s="1"/>
  <c r="E6" i="29"/>
  <c r="H6" i="29" s="1"/>
  <c r="D7" i="16"/>
  <c r="E7" i="16"/>
  <c r="G7" i="16" s="1"/>
  <c r="Y7" i="16"/>
  <c r="AW7" i="16"/>
  <c r="D8" i="16"/>
  <c r="E8" i="16"/>
  <c r="H8" i="16" s="1"/>
  <c r="J8" i="16" s="1"/>
  <c r="Y8" i="16"/>
  <c r="AW8" i="16"/>
  <c r="F6" i="13"/>
  <c r="G6" i="13" s="1"/>
  <c r="F7" i="13"/>
  <c r="G7" i="13" s="1"/>
  <c r="F11" i="13"/>
  <c r="G11" i="13" s="1"/>
  <c r="F8" i="13"/>
  <c r="G8" i="13" s="1"/>
  <c r="F9" i="13"/>
  <c r="G9" i="13" s="1"/>
  <c r="F10" i="13"/>
  <c r="G10" i="13" s="1"/>
  <c r="F12" i="13"/>
  <c r="G12" i="13" s="1"/>
  <c r="F13" i="13"/>
  <c r="G13" i="13" s="1"/>
  <c r="F14" i="13"/>
  <c r="G14" i="13" s="1"/>
  <c r="F5" i="13"/>
  <c r="G5" i="13" s="1"/>
  <c r="G8" i="16" l="1"/>
  <c r="F5" i="20"/>
  <c r="G5" i="20" s="1"/>
  <c r="K8" i="16"/>
  <c r="H7" i="16"/>
  <c r="Q14" i="47"/>
  <c r="P14" i="47"/>
  <c r="O14" i="47"/>
  <c r="N14" i="47"/>
  <c r="M14" i="47"/>
  <c r="L14" i="47"/>
  <c r="K14" i="47"/>
  <c r="J14" i="47"/>
  <c r="I14" i="47"/>
  <c r="H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5" i="47"/>
  <c r="G14" i="47" l="1"/>
  <c r="J7" i="16"/>
  <c r="K7" i="16"/>
  <c r="M8" i="16"/>
  <c r="N8" i="16"/>
  <c r="F14" i="47"/>
  <c r="A11" i="46"/>
  <c r="W6" i="46"/>
  <c r="U6" i="46"/>
  <c r="M7" i="16" l="1"/>
  <c r="N7" i="16"/>
  <c r="P8" i="16"/>
  <c r="Q8" i="16"/>
  <c r="P7" i="16" l="1"/>
  <c r="Q7" i="16"/>
  <c r="T8" i="16"/>
  <c r="S8" i="16"/>
  <c r="V8" i="16" l="1"/>
  <c r="Z8" i="16"/>
  <c r="S7" i="16"/>
  <c r="T7" i="16"/>
  <c r="AC8" i="16" l="1"/>
  <c r="AB8" i="16"/>
  <c r="Z7" i="16"/>
  <c r="V7" i="16"/>
  <c r="AC7" i="16" l="1"/>
  <c r="AB7" i="16"/>
  <c r="AF8" i="16"/>
  <c r="AE8" i="16"/>
  <c r="D5" i="30"/>
  <c r="E5" i="30" s="1"/>
  <c r="F5" i="30" s="1"/>
  <c r="C56" i="8"/>
  <c r="E56" i="8"/>
  <c r="F56" i="8"/>
  <c r="AI8" i="16" l="1"/>
  <c r="AH8" i="16"/>
  <c r="AF7" i="16"/>
  <c r="AE7" i="16"/>
  <c r="AH7" i="16" l="1"/>
  <c r="AI7" i="16"/>
  <c r="AK8" i="16"/>
  <c r="AL8" i="16"/>
  <c r="C21" i="7"/>
  <c r="E21" i="7"/>
  <c r="AL7" i="16" l="1"/>
  <c r="AK7" i="16"/>
  <c r="AO8" i="16"/>
  <c r="AN8" i="16"/>
  <c r="AW6" i="16"/>
  <c r="AR8" i="16" l="1"/>
  <c r="AT8" i="16" s="1"/>
  <c r="AQ8" i="16"/>
  <c r="AO7" i="16"/>
  <c r="AN7" i="16"/>
  <c r="AX8" i="16" l="1"/>
  <c r="AR7" i="16"/>
  <c r="AT7" i="16" s="1"/>
  <c r="AQ7" i="16"/>
  <c r="AX7" i="16" l="1"/>
  <c r="D6" i="3" l="1"/>
  <c r="D8" i="3"/>
  <c r="D9" i="3"/>
  <c r="D10" i="3"/>
  <c r="D11" i="3"/>
  <c r="D12" i="3"/>
  <c r="D13" i="3"/>
  <c r="D14" i="3"/>
  <c r="D15" i="3"/>
  <c r="D5" i="3"/>
  <c r="C20" i="42" l="1"/>
  <c r="M7" i="42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K7" i="42"/>
  <c r="K8" i="42" s="1"/>
  <c r="K9" i="42" s="1"/>
  <c r="K10" i="42" s="1"/>
  <c r="K11" i="42" s="1"/>
  <c r="K12" i="42" s="1"/>
  <c r="K13" i="42" s="1"/>
  <c r="K14" i="42" s="1"/>
  <c r="K15" i="42" s="1"/>
  <c r="K16" i="42" s="1"/>
  <c r="K17" i="42" s="1"/>
  <c r="K18" i="42" s="1"/>
  <c r="K19" i="42" s="1"/>
  <c r="I7" i="42"/>
  <c r="I8" i="42" s="1"/>
  <c r="I9" i="42" s="1"/>
  <c r="I10" i="42" s="1"/>
  <c r="I11" i="42" s="1"/>
  <c r="I12" i="42" s="1"/>
  <c r="I13" i="42" s="1"/>
  <c r="I14" i="42" s="1"/>
  <c r="I15" i="42" s="1"/>
  <c r="I16" i="42" s="1"/>
  <c r="I17" i="42" s="1"/>
  <c r="I18" i="42" s="1"/>
  <c r="I19" i="42" s="1"/>
  <c r="H7" i="42"/>
  <c r="H8" i="42" s="1"/>
  <c r="H9" i="42" s="1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F7" i="42"/>
  <c r="G6" i="42"/>
  <c r="J6" i="42" s="1"/>
  <c r="L6" i="42" s="1"/>
  <c r="N6" i="42" s="1"/>
  <c r="F8" i="42" l="1"/>
  <c r="G7" i="42"/>
  <c r="J7" i="42" l="1"/>
  <c r="L7" i="42" s="1"/>
  <c r="N7" i="42" s="1"/>
  <c r="G8" i="42"/>
  <c r="J8" i="42" s="1"/>
  <c r="F9" i="42"/>
  <c r="F10" i="42" l="1"/>
  <c r="G9" i="42"/>
  <c r="J9" i="42" s="1"/>
  <c r="L8" i="42"/>
  <c r="L9" i="42" l="1"/>
  <c r="N9" i="42" s="1"/>
  <c r="G10" i="42"/>
  <c r="F11" i="42"/>
  <c r="N8" i="42"/>
  <c r="J10" i="42" l="1"/>
  <c r="L10" i="42" s="1"/>
  <c r="N10" i="42" s="1"/>
  <c r="F12" i="42"/>
  <c r="G11" i="42"/>
  <c r="J11" i="42" l="1"/>
  <c r="L11" i="42" s="1"/>
  <c r="N11" i="42" s="1"/>
  <c r="G12" i="42"/>
  <c r="J12" i="42" s="1"/>
  <c r="F13" i="42"/>
  <c r="F14" i="42" l="1"/>
  <c r="G13" i="42"/>
  <c r="L12" i="42"/>
  <c r="J13" i="42" l="1"/>
  <c r="L13" i="42" s="1"/>
  <c r="N13" i="42" s="1"/>
  <c r="F15" i="42"/>
  <c r="G14" i="42"/>
  <c r="N12" i="42"/>
  <c r="J14" i="42" l="1"/>
  <c r="L14" i="42" s="1"/>
  <c r="N14" i="42" s="1"/>
  <c r="F16" i="42"/>
  <c r="G15" i="42"/>
  <c r="J15" i="42" l="1"/>
  <c r="L15" i="42" s="1"/>
  <c r="N15" i="42" s="1"/>
  <c r="F17" i="42"/>
  <c r="G16" i="42"/>
  <c r="J16" i="42" l="1"/>
  <c r="L16" i="42" s="1"/>
  <c r="N16" i="42" s="1"/>
  <c r="F18" i="42"/>
  <c r="G17" i="42"/>
  <c r="J17" i="42" l="1"/>
  <c r="L17" i="42" s="1"/>
  <c r="N17" i="42" s="1"/>
  <c r="F19" i="42"/>
  <c r="G19" i="42" s="1"/>
  <c r="J19" i="42" s="1"/>
  <c r="G18" i="42"/>
  <c r="J18" i="42" l="1"/>
  <c r="L18" i="42" s="1"/>
  <c r="N18" i="42" s="1"/>
  <c r="L19" i="42"/>
  <c r="J20" i="42" l="1"/>
  <c r="N19" i="42"/>
  <c r="N20" i="42" s="1"/>
  <c r="L20" i="42"/>
  <c r="F18" i="21" l="1"/>
  <c r="G18" i="21"/>
  <c r="E18" i="21"/>
  <c r="E4" i="30" l="1"/>
  <c r="F4" i="30" s="1"/>
  <c r="F13" i="30" s="1"/>
  <c r="C4" i="31"/>
  <c r="D4" i="31" s="1"/>
  <c r="D6" i="31" s="1"/>
  <c r="E13" i="30" l="1"/>
  <c r="D13" i="30"/>
  <c r="C6" i="31"/>
  <c r="G55" i="56" s="1"/>
  <c r="E4" i="31"/>
  <c r="E6" i="31" s="1"/>
  <c r="G6" i="25"/>
  <c r="G7" i="25"/>
  <c r="G5" i="25"/>
  <c r="D7" i="25"/>
  <c r="P7" i="25" s="1"/>
  <c r="D5" i="25"/>
  <c r="F55" i="56" l="1"/>
  <c r="L55" i="56"/>
  <c r="K55" i="56" s="1"/>
  <c r="G54" i="56"/>
  <c r="CE48" i="57"/>
  <c r="P5" i="25"/>
  <c r="D6" i="25"/>
  <c r="CL61" i="57" l="1"/>
  <c r="G17" i="56" s="1"/>
  <c r="L17" i="56" s="1"/>
  <c r="F54" i="56"/>
  <c r="E59" i="49" s="1"/>
  <c r="L54" i="56"/>
  <c r="P6" i="25"/>
  <c r="K17" i="56" l="1"/>
  <c r="F17" i="56"/>
  <c r="K54" i="56"/>
  <c r="G59" i="49" l="1"/>
  <c r="G58" i="49" s="1"/>
  <c r="F58" i="49"/>
  <c r="G12" i="21" l="1"/>
  <c r="F12" i="21"/>
  <c r="D12" i="21"/>
  <c r="E11" i="21"/>
  <c r="E10" i="21"/>
  <c r="E9" i="21"/>
  <c r="D13" i="20"/>
  <c r="E12" i="20"/>
  <c r="F12" i="20" s="1"/>
  <c r="G12" i="20" s="1"/>
  <c r="E11" i="20"/>
  <c r="F11" i="20" s="1"/>
  <c r="G11" i="20" s="1"/>
  <c r="E10" i="20"/>
  <c r="F10" i="20" s="1"/>
  <c r="G10" i="20" s="1"/>
  <c r="E9" i="20"/>
  <c r="F9" i="20" l="1"/>
  <c r="E13" i="20"/>
  <c r="E12" i="21"/>
  <c r="G9" i="20" l="1"/>
  <c r="G13" i="20" s="1"/>
  <c r="F13" i="20"/>
  <c r="G30" i="56"/>
  <c r="G27" i="56" s="1"/>
  <c r="CJ87" i="57"/>
  <c r="Y6" i="16"/>
  <c r="E6" i="16"/>
  <c r="G6" i="16" s="1"/>
  <c r="D6" i="16"/>
  <c r="G15" i="13"/>
  <c r="F15" i="13"/>
  <c r="D15" i="13"/>
  <c r="F16" i="11"/>
  <c r="E16" i="11"/>
  <c r="C16" i="11"/>
  <c r="D15" i="11"/>
  <c r="D14" i="11"/>
  <c r="D13" i="11"/>
  <c r="D12" i="11"/>
  <c r="D11" i="11"/>
  <c r="D10" i="11"/>
  <c r="D9" i="11"/>
  <c r="D8" i="11"/>
  <c r="F16" i="3"/>
  <c r="E16" i="3"/>
  <c r="C16" i="3"/>
  <c r="D16" i="3"/>
  <c r="F16" i="9"/>
  <c r="E16" i="9"/>
  <c r="C16" i="9"/>
  <c r="D15" i="9"/>
  <c r="D14" i="9"/>
  <c r="D13" i="9"/>
  <c r="D12" i="9"/>
  <c r="D11" i="9"/>
  <c r="D10" i="9"/>
  <c r="D9" i="9"/>
  <c r="D8" i="9"/>
  <c r="D7" i="9"/>
  <c r="F21" i="7"/>
  <c r="C23" i="2"/>
  <c r="D22" i="2"/>
  <c r="D21" i="2"/>
  <c r="K64" i="56" l="1"/>
  <c r="F64" i="56"/>
  <c r="F30" i="56"/>
  <c r="L30" i="56"/>
  <c r="L27" i="56" s="1"/>
  <c r="D16" i="9"/>
  <c r="G75" i="56" s="1"/>
  <c r="G74" i="56"/>
  <c r="D21" i="7"/>
  <c r="G73" i="56" s="1"/>
  <c r="E15" i="13"/>
  <c r="D16" i="11"/>
  <c r="H6" i="16"/>
  <c r="D23" i="2"/>
  <c r="G69" i="56" s="1"/>
  <c r="L75" i="56" l="1"/>
  <c r="K75" i="56" s="1"/>
  <c r="F75" i="56"/>
  <c r="F74" i="56"/>
  <c r="L74" i="56"/>
  <c r="K74" i="56" s="1"/>
  <c r="L73" i="56"/>
  <c r="K73" i="56" s="1"/>
  <c r="F73" i="56"/>
  <c r="F69" i="56"/>
  <c r="L69" i="56"/>
  <c r="G67" i="56"/>
  <c r="F67" i="56" s="1"/>
  <c r="CJ113" i="57"/>
  <c r="F27" i="56"/>
  <c r="K30" i="56"/>
  <c r="J6" i="16"/>
  <c r="K6" i="16"/>
  <c r="E23" i="2"/>
  <c r="F23" i="2"/>
  <c r="K69" i="56" l="1"/>
  <c r="L67" i="56"/>
  <c r="K67" i="56" s="1"/>
  <c r="F63" i="56"/>
  <c r="L63" i="56"/>
  <c r="G61" i="56"/>
  <c r="K27" i="56"/>
  <c r="M6" i="16"/>
  <c r="N6" i="16"/>
  <c r="K63" i="56" l="1"/>
  <c r="L61" i="56"/>
  <c r="F61" i="56"/>
  <c r="F60" i="56" s="1"/>
  <c r="G60" i="56"/>
  <c r="P6" i="16"/>
  <c r="Q6" i="16"/>
  <c r="K61" i="56" l="1"/>
  <c r="K60" i="56" s="1"/>
  <c r="L60" i="56"/>
  <c r="T6" i="16"/>
  <c r="S6" i="16"/>
  <c r="Z6" i="16" l="1"/>
  <c r="V6" i="16"/>
  <c r="AC6" i="16" l="1"/>
  <c r="AB6" i="16"/>
  <c r="AF6" i="16" l="1"/>
  <c r="AE6" i="16"/>
  <c r="AH6" i="16" l="1"/>
  <c r="AI6" i="16"/>
  <c r="AK6" i="16" l="1"/>
  <c r="AL6" i="16"/>
  <c r="AO6" i="16" l="1"/>
  <c r="AN6" i="16"/>
  <c r="AR6" i="16" l="1"/>
  <c r="AT6" i="16" s="1"/>
  <c r="AQ6" i="16"/>
  <c r="AX6" i="16" l="1"/>
  <c r="CJ98" i="57" s="1"/>
  <c r="DE113" i="57" s="1"/>
  <c r="G37" i="56"/>
  <c r="G33" i="56" s="1"/>
  <c r="G15" i="56" s="1"/>
  <c r="L37" i="56" l="1"/>
  <c r="F37" i="56"/>
  <c r="L33" i="56" l="1"/>
  <c r="L15" i="56" s="1"/>
  <c r="K37" i="56"/>
  <c r="F33" i="56"/>
  <c r="F15" i="56" l="1"/>
  <c r="E13" i="50"/>
  <c r="E11" i="50" s="1"/>
  <c r="K33" i="56"/>
  <c r="K15" i="56" s="1"/>
  <c r="G32" i="49" l="1"/>
  <c r="F10" i="50"/>
  <c r="E75" i="49"/>
  <c r="E70" i="49" s="1"/>
  <c r="E10" i="50" s="1"/>
  <c r="E5" i="50" l="1"/>
  <c r="E30" i="50"/>
  <c r="E29" i="50" s="1"/>
  <c r="F32" i="49"/>
  <c r="G10" i="50"/>
  <c r="G29" i="50" s="1"/>
  <c r="F11" i="50"/>
  <c r="G11" i="50" s="1"/>
  <c r="F29" i="50"/>
  <c r="F5" i="50"/>
  <c r="L52" i="56"/>
  <c r="K59" i="56"/>
  <c r="G59" i="56" s="1"/>
  <c r="G5" i="50" l="1"/>
  <c r="K52" i="56"/>
  <c r="L87" i="56"/>
  <c r="K87" i="56" s="1"/>
  <c r="K95" i="56" s="1"/>
  <c r="K92" i="56" s="1"/>
  <c r="F59" i="56"/>
  <c r="E62" i="49" s="1"/>
  <c r="E58" i="49" s="1"/>
  <c r="E32" i="49" s="1"/>
  <c r="G52" i="56"/>
  <c r="L95" i="56" l="1"/>
  <c r="L92" i="56"/>
  <c r="L106" i="56"/>
  <c r="G95" i="56"/>
  <c r="G92" i="56" s="1"/>
  <c r="G87" i="56"/>
  <c r="F87" i="56" s="1"/>
  <c r="F52" i="56"/>
  <c r="K106" i="56" l="1"/>
  <c r="G106" i="56" s="1"/>
  <c r="F106" i="56" s="1"/>
  <c r="L103" i="56"/>
  <c r="F95" i="56"/>
  <c r="F92" i="56" s="1"/>
  <c r="L102" i="56" l="1"/>
  <c r="K103" i="56"/>
  <c r="G103" i="56" s="1"/>
  <c r="F103" i="56" s="1"/>
  <c r="K102" i="56" l="1"/>
  <c r="G102" i="56" s="1"/>
  <c r="L100" i="56"/>
  <c r="E12" i="49" l="1"/>
  <c r="AH100" i="56"/>
  <c r="K100" i="56"/>
  <c r="G100" i="56" s="1"/>
  <c r="F100" i="56" s="1"/>
  <c r="F102" i="56"/>
  <c r="DE116" i="57"/>
  <c r="DE119" i="57" s="1"/>
  <c r="F12" i="49" l="1"/>
  <c r="E11" i="49"/>
  <c r="E7" i="49" l="1"/>
  <c r="J7" i="49" s="1"/>
  <c r="G12" i="49"/>
  <c r="G11" i="49" s="1"/>
  <c r="G7" i="49" s="1"/>
  <c r="M7" i="49" s="1"/>
  <c r="F11" i="49"/>
  <c r="F7" i="49" s="1"/>
  <c r="L7" i="49" s="1"/>
  <c r="J11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S6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530</t>
        </r>
      </text>
    </comment>
    <comment ref="S7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532</t>
        </r>
      </text>
    </comment>
    <comment ref="S71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535</t>
        </r>
      </text>
    </comment>
    <comment ref="S7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9" authorId="0" shapeId="0" xr:uid="{00000000-0006-0000-2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 и более
</t>
        </r>
      </text>
    </comment>
  </commentList>
</comments>
</file>

<file path=xl/sharedStrings.xml><?xml version="1.0" encoding="utf-8"?>
<sst xmlns="http://schemas.openxmlformats.org/spreadsheetml/2006/main" count="2052" uniqueCount="968">
  <si>
    <t>Наименование</t>
  </si>
  <si>
    <t>Цена</t>
  </si>
  <si>
    <t>Количество</t>
  </si>
  <si>
    <t>Проект 2021 год</t>
  </si>
  <si>
    <t>Итого</t>
  </si>
  <si>
    <t>Проект 2022 год</t>
  </si>
  <si>
    <r>
      <rPr>
        <b/>
        <sz val="11"/>
        <color theme="1"/>
        <rFont val="Times New Roman"/>
        <family val="1"/>
        <charset val="204"/>
      </rPr>
      <t>КОСГУ 341/510</t>
    </r>
    <r>
      <rPr>
        <sz val="11"/>
        <color theme="1"/>
        <rFont val="Times New Roman"/>
        <family val="1"/>
        <charset val="204"/>
      </rPr>
      <t xml:space="preserve"> Лекарственные препараты и материалы, применяемые в медицинских целях</t>
    </r>
  </si>
  <si>
    <r>
      <rPr>
        <b/>
        <sz val="11"/>
        <color theme="1"/>
        <rFont val="Times New Roman"/>
        <family val="1"/>
        <charset val="204"/>
      </rPr>
      <t>КОСГУ 345/520</t>
    </r>
    <r>
      <rPr>
        <sz val="11"/>
        <color theme="1"/>
        <rFont val="Times New Roman"/>
        <family val="1"/>
        <charset val="204"/>
      </rPr>
      <t xml:space="preserve"> Мягкий инвентарь</t>
    </r>
  </si>
  <si>
    <t>Приобретение материальных запасов</t>
  </si>
  <si>
    <t xml:space="preserve">Приобретение материальных запасов </t>
  </si>
  <si>
    <t>Приобретение основных средств</t>
  </si>
  <si>
    <r>
      <rPr>
        <b/>
        <sz val="11"/>
        <color theme="1"/>
        <rFont val="Times New Roman"/>
        <family val="1"/>
        <charset val="204"/>
      </rPr>
      <t>КОСГУ 346/550</t>
    </r>
    <r>
      <rPr>
        <sz val="11"/>
        <color theme="1"/>
        <rFont val="Times New Roman"/>
        <family val="1"/>
        <charset val="204"/>
      </rPr>
      <t xml:space="preserve"> Прочие материальные запасы (рабочие тетради, методическая литература, канцелярские товары, бумага, картриджи, моющие, чистящие, игрушки, средства для мытья посуды, посуда, туалет. Бумага, хозяйственные товары (лампочки, совки, веник …) и т.д.</t>
    </r>
  </si>
  <si>
    <t>Приобретение учебной литературы</t>
  </si>
  <si>
    <t>КОСГУ 310/045</t>
  </si>
  <si>
    <t xml:space="preserve"> Расходы на оплату стоимости проезда и провоза багажа к месту использования отпуска и обратно</t>
  </si>
  <si>
    <t>№ п/п</t>
  </si>
  <si>
    <t>2020 год</t>
  </si>
  <si>
    <t>Члены семьи</t>
  </si>
  <si>
    <t>Сумма</t>
  </si>
  <si>
    <t>ВСЕГО</t>
  </si>
  <si>
    <t>Расходы на прочие услуги</t>
  </si>
  <si>
    <r>
      <rPr>
        <b/>
        <sz val="11"/>
        <color theme="1"/>
        <rFont val="Times New Roman"/>
        <family val="1"/>
        <charset val="204"/>
      </rPr>
      <t>КОСГУ 226/046</t>
    </r>
    <r>
      <rPr>
        <sz val="11"/>
        <color theme="1"/>
        <rFont val="Times New Roman"/>
        <family val="1"/>
        <charset val="204"/>
      </rPr>
      <t xml:space="preserve"> </t>
    </r>
  </si>
  <si>
    <t>Транспортные услуги</t>
  </si>
  <si>
    <t>год</t>
  </si>
  <si>
    <t>Терапевт</t>
  </si>
  <si>
    <t>Невролог</t>
  </si>
  <si>
    <t>Заполнение формы</t>
  </si>
  <si>
    <t>Лор</t>
  </si>
  <si>
    <t>Хирург</t>
  </si>
  <si>
    <t>Окулист</t>
  </si>
  <si>
    <t>Дерматолог</t>
  </si>
  <si>
    <t>Гинеколог</t>
  </si>
  <si>
    <t>Стоматолог</t>
  </si>
  <si>
    <t>ЭКГ</t>
  </si>
  <si>
    <t>RW</t>
  </si>
  <si>
    <t>Анализы крови и спирография</t>
  </si>
  <si>
    <t>Анализ мочи</t>
  </si>
  <si>
    <t>Психиатр</t>
  </si>
  <si>
    <t>Нарколог</t>
  </si>
  <si>
    <t>кол-во работников</t>
  </si>
  <si>
    <t>цена</t>
  </si>
  <si>
    <t>сумма,руб.</t>
  </si>
  <si>
    <t>кол-во работников (женщины)</t>
  </si>
  <si>
    <t xml:space="preserve">кол-во работников </t>
  </si>
  <si>
    <t>ед.изм.</t>
  </si>
  <si>
    <t>кол-во</t>
  </si>
  <si>
    <t xml:space="preserve"> </t>
  </si>
  <si>
    <t xml:space="preserve">Количество работников, направляемых на повышение квалификации 
</t>
  </si>
  <si>
    <t>Суточные</t>
  </si>
  <si>
    <t>Возмещение стоимости проезда</t>
  </si>
  <si>
    <t>Возмещение стоимости проживания</t>
  </si>
  <si>
    <t>Расходы на курсовую подготовку</t>
  </si>
  <si>
    <t>Итого сумма, рублей</t>
  </si>
  <si>
    <t>Количество дней
командировки</t>
  </si>
  <si>
    <t>размер суточных</t>
  </si>
  <si>
    <t>сумма, рублей</t>
  </si>
  <si>
    <t>стоимость проезда в одном направлении в ценах текущего финансового года</t>
  </si>
  <si>
    <t>количество дней прожи-вания</t>
  </si>
  <si>
    <t>Цель курсов, должность работника</t>
  </si>
  <si>
    <t>Цель командировки</t>
  </si>
  <si>
    <t>Место командировки</t>
  </si>
  <si>
    <t>Количество 
командировок</t>
  </si>
  <si>
    <r>
      <rPr>
        <b/>
        <sz val="11"/>
        <color theme="1"/>
        <rFont val="Times New Roman"/>
        <family val="1"/>
        <charset val="204"/>
      </rPr>
      <t>КОСГУ 225/770</t>
    </r>
    <r>
      <rPr>
        <sz val="11"/>
        <color theme="1"/>
        <rFont val="Times New Roman"/>
        <family val="1"/>
        <charset val="204"/>
      </rPr>
      <t xml:space="preserve"> </t>
    </r>
  </si>
  <si>
    <t>Ед.изм</t>
  </si>
  <si>
    <t>Ед. изм</t>
  </si>
  <si>
    <t>Прочие расходы на содержание имущества</t>
  </si>
  <si>
    <t>Расчет затрат на оплату технического обслуживания</t>
  </si>
  <si>
    <t>Расчет выплаты специалистам, работающим и проживающим в сельских населённых пунктах Ненецкого автономного округа</t>
  </si>
  <si>
    <t>Наём жилья</t>
  </si>
  <si>
    <t>Компенсация затрат на коммунальные услуги</t>
  </si>
  <si>
    <t>Контингент *</t>
  </si>
  <si>
    <t>Норматив на 1 специалиста</t>
  </si>
  <si>
    <t>Сумма (рублей)</t>
  </si>
  <si>
    <t>Контингент **</t>
  </si>
  <si>
    <t>Расчет затрат на оплату услуг связи</t>
  </si>
  <si>
    <t>Телефонная связь (абонентская плата)</t>
  </si>
  <si>
    <t>Междугородние переговоры</t>
  </si>
  <si>
    <t>Внутризоновые соединения</t>
  </si>
  <si>
    <t xml:space="preserve">Марки, конверты - сумма в год </t>
  </si>
  <si>
    <t>Интернет</t>
  </si>
  <si>
    <t>Итого сумма (рублей)</t>
  </si>
  <si>
    <t>Кол-во</t>
  </si>
  <si>
    <t>Сумма на продукты питания</t>
  </si>
  <si>
    <t xml:space="preserve">Стоимость дето-дня* </t>
  </si>
  <si>
    <t xml:space="preserve">Плановое количество дней работы учреждения в год </t>
  </si>
  <si>
    <t>Плановое количество дето-дней в году</t>
  </si>
  <si>
    <t>кв</t>
  </si>
  <si>
    <t>Расходы на обслуживание пожарной сигнализации</t>
  </si>
  <si>
    <t>Обслуживание пожарной сигнализации                              КОСГУ 225/055</t>
  </si>
  <si>
    <t>Расчет затрат на оплату земельного налога</t>
  </si>
  <si>
    <t>Налоговая ставка</t>
  </si>
  <si>
    <t>Сумма налога 2020 год</t>
  </si>
  <si>
    <t>Сумма налога 2021 год</t>
  </si>
  <si>
    <t>итого</t>
  </si>
  <si>
    <t>Расчет затрат на оплату налога на имущество</t>
  </si>
  <si>
    <t>Сумма налога 2022 год</t>
  </si>
  <si>
    <t>Наименование земельного участка</t>
  </si>
  <si>
    <t>Кадастровая стоимость земельного участка</t>
  </si>
  <si>
    <t>Остаточная стоимость основных средств, признаваемых объектом налогообложения на 01.04.2019</t>
  </si>
  <si>
    <t>Расходы на коммунальные услуги</t>
  </si>
  <si>
    <t>кВт.час</t>
  </si>
  <si>
    <t>Гкалл</t>
  </si>
  <si>
    <t>час</t>
  </si>
  <si>
    <t>куб.м</t>
  </si>
  <si>
    <t>Работы по промывке, испытаниям на плотность и прочность системы отопления</t>
  </si>
  <si>
    <t>225/770</t>
  </si>
  <si>
    <t>226/046</t>
  </si>
  <si>
    <t>214/831</t>
  </si>
  <si>
    <t>223/721</t>
  </si>
  <si>
    <t>223/730</t>
  </si>
  <si>
    <t>223/740</t>
  </si>
  <si>
    <t>225/912</t>
  </si>
  <si>
    <t>344/550</t>
  </si>
  <si>
    <t>310/045</t>
  </si>
  <si>
    <t>310/914</t>
  </si>
  <si>
    <t>ИТОГО</t>
  </si>
  <si>
    <t>Плановое количество школьников</t>
  </si>
  <si>
    <t xml:space="preserve">Дети-инвалиды </t>
  </si>
  <si>
    <t>Дети с ограниченными возможностями здоровья</t>
  </si>
  <si>
    <t>Дети-сироты и дети из малообеспеченных семей</t>
  </si>
  <si>
    <t>Дети, имеющие право на компесацию 50 % стоимости продуктов (согласно договоров возмездного оказания услуг по предоставлению питания)</t>
  </si>
  <si>
    <t>Районный коэффициент</t>
  </si>
  <si>
    <t>Материальная помощь к отпуску</t>
  </si>
  <si>
    <t>Руководители</t>
  </si>
  <si>
    <t>Заработная плата</t>
  </si>
  <si>
    <t>214/501</t>
  </si>
  <si>
    <t>Наименование учреждения</t>
  </si>
  <si>
    <t>Кол-во групп</t>
  </si>
  <si>
    <t>Всего детей</t>
  </si>
  <si>
    <t>Размер вознаграждения в месяц</t>
  </si>
  <si>
    <t>Кол-во месяцев в году</t>
  </si>
  <si>
    <t>Итого расходы КОСГУ 211</t>
  </si>
  <si>
    <t xml:space="preserve">коэффициент отчислений в государственные внебюджетные фонды страховых взносов на обязательное социальное страхование
</t>
  </si>
  <si>
    <t>Итого расходы КОСГУ 213</t>
  </si>
  <si>
    <t>Группа детей раннего возраста (до 3-х лет)</t>
  </si>
  <si>
    <t>Группа дошкольного возраста (от 3-х лет до 7 лет)</t>
  </si>
  <si>
    <t xml:space="preserve">районный коэффициент к заработной плате
</t>
  </si>
  <si>
    <t xml:space="preserve">процентная надбавка к заработной плате за работу в районах Крайнего Севера
</t>
  </si>
  <si>
    <t>Всего с учетом РК и надб. за стаж работы в РКС</t>
  </si>
  <si>
    <t>Численность детей</t>
  </si>
  <si>
    <t>Кол-во классов</t>
  </si>
  <si>
    <t>Наполяемость детей в классе</t>
  </si>
  <si>
    <t>Установленный размер вознаграждения</t>
  </si>
  <si>
    <t>Нормативная наполняемость класса</t>
  </si>
  <si>
    <t>Сумма вознаграждения</t>
  </si>
  <si>
    <t>Вознаграждение за классное руководство</t>
  </si>
  <si>
    <t>№ 
п/п</t>
  </si>
  <si>
    <t>Прочие услуги</t>
  </si>
  <si>
    <t>225/055</t>
  </si>
  <si>
    <t>226/049</t>
  </si>
  <si>
    <t>КОСГУ</t>
  </si>
  <si>
    <t>Земельный налог</t>
  </si>
  <si>
    <t>Налог на имущество</t>
  </si>
  <si>
    <t>341/510</t>
  </si>
  <si>
    <t>343/540</t>
  </si>
  <si>
    <t>ГСМ</t>
  </si>
  <si>
    <t>345/520</t>
  </si>
  <si>
    <t>346/550</t>
  </si>
  <si>
    <t>349/845</t>
  </si>
  <si>
    <t>по ОКПО</t>
  </si>
  <si>
    <t>(наименование учреждения)</t>
  </si>
  <si>
    <t>Надбавка за стаж работы в районах крайнего севера</t>
  </si>
  <si>
    <t>%</t>
  </si>
  <si>
    <t>сумма, руб.</t>
  </si>
  <si>
    <t>(расшифровка подписи)</t>
  </si>
  <si>
    <t>шт</t>
  </si>
  <si>
    <t>Психиатрическое освидетельствование</t>
  </si>
  <si>
    <t>шт.</t>
  </si>
  <si>
    <t>Мыло хозяйственное</t>
  </si>
  <si>
    <t>Файлы</t>
  </si>
  <si>
    <t>Белый картон</t>
  </si>
  <si>
    <t>Цветной картон</t>
  </si>
  <si>
    <t>Гуашь</t>
  </si>
  <si>
    <t>Бумага туалетная</t>
  </si>
  <si>
    <t>Техническое обслуживание сети электроснабжения МП ЗР СЖКС</t>
  </si>
  <si>
    <t>руб/кв.м</t>
  </si>
  <si>
    <t>Техническое обслуживание сети теплоснабжения МП ЗР СЖКС</t>
  </si>
  <si>
    <t>Техническое обслуживание сети водоснабжения МП ЗР СЖКС</t>
  </si>
  <si>
    <t>Техническое обслуживание внутренних систем канализации МП ЗР СЖКС</t>
  </si>
  <si>
    <t>Планируемая численность в 2020 году</t>
  </si>
  <si>
    <t>Наименование общеобразовательного учреждения</t>
  </si>
  <si>
    <t>1-я ступень</t>
  </si>
  <si>
    <t>2-я ступень</t>
  </si>
  <si>
    <t>КА</t>
  </si>
  <si>
    <t>1 класс</t>
  </si>
  <si>
    <t>2 класс</t>
  </si>
  <si>
    <t>3 класс</t>
  </si>
  <si>
    <t>4 класс</t>
  </si>
  <si>
    <t>5 класс</t>
  </si>
  <si>
    <t>6 класс</t>
  </si>
  <si>
    <t>к-во классов</t>
  </si>
  <si>
    <t>к-во детей</t>
  </si>
  <si>
    <t>к-во ККВ</t>
  </si>
  <si>
    <t>к-во детей в ККВ</t>
  </si>
  <si>
    <t>классов</t>
  </si>
  <si>
    <t>классов-комплектов</t>
  </si>
  <si>
    <t>детей</t>
  </si>
  <si>
    <t>средняя наполняемость</t>
  </si>
  <si>
    <t>3-я ступень</t>
  </si>
  <si>
    <t>7 класс</t>
  </si>
  <si>
    <t>8 класс</t>
  </si>
  <si>
    <t>9 класс</t>
  </si>
  <si>
    <t>10 класс</t>
  </si>
  <si>
    <t>11 класс</t>
  </si>
  <si>
    <t>Всего по школе</t>
  </si>
  <si>
    <t>Режим работы (5-ти дневная учебная неделя, 6-ти дневная)</t>
  </si>
  <si>
    <t>6-ти дневная</t>
  </si>
  <si>
    <t>Численность детей дошкольного возраста в школах-садах и группах при школах</t>
  </si>
  <si>
    <t>Руководитель учреждения</t>
  </si>
  <si>
    <t>директор</t>
  </si>
  <si>
    <t>И.С. Шолдаев/</t>
  </si>
  <si>
    <t>(должность)</t>
  </si>
  <si>
    <t>(подпись)</t>
  </si>
  <si>
    <t xml:space="preserve">Планируемая численность воспитанников на 2020 г. </t>
  </si>
  <si>
    <t>Режим работы</t>
  </si>
  <si>
    <t>в том числе:</t>
  </si>
  <si>
    <t>Дети, освобожденные от платы за содержание</t>
  </si>
  <si>
    <t>кол-во дней работы в неделю</t>
  </si>
  <si>
    <t>кол-во часов (9; 10,5; 12; 24)</t>
  </si>
  <si>
    <t>плановое кол-во дней работы в 2020 году</t>
  </si>
  <si>
    <t>Разновозрастная группа (это группа в которой и дети до 3-х лет и дети старше 3-х лет вместе)</t>
  </si>
  <si>
    <t>Кол-во ставок воспитателей</t>
  </si>
  <si>
    <t>ГБОУ НАО "ОШ п. Амдерма"</t>
  </si>
  <si>
    <t>И.С. Шолдаев</t>
  </si>
  <si>
    <t xml:space="preserve">(подпись)                     </t>
  </si>
  <si>
    <t>Цена 2019 год</t>
  </si>
  <si>
    <t>цена 2019 год</t>
  </si>
  <si>
    <t>сторож</t>
  </si>
  <si>
    <t>Утверждено:</t>
  </si>
  <si>
    <t>(наименование должности уполномоченного лица)</t>
  </si>
  <si>
    <t>(наименование органа-учредителя (учреждения)</t>
  </si>
  <si>
    <t xml:space="preserve">                                                             (подпись)                                         (расшифровка подписи)</t>
  </si>
  <si>
    <t xml:space="preserve">                             "__" ___________ 20__ г.</t>
  </si>
  <si>
    <t>ПЛАН ФИНАНСОВО-ХОЗЯЙСТВЕННОЙ ДЕЯТЕЛЬНОСТИ</t>
  </si>
  <si>
    <t>КОДЫ</t>
  </si>
  <si>
    <t>Форма по КФД</t>
  </si>
  <si>
    <t>"</t>
  </si>
  <si>
    <t xml:space="preserve"> г.</t>
  </si>
  <si>
    <t>Дата</t>
  </si>
  <si>
    <t>(наименование государственного бюджетного учреждения)</t>
  </si>
  <si>
    <t>ИНН/КПП</t>
  </si>
  <si>
    <t>Единица измерения: руб.</t>
  </si>
  <si>
    <t>по ОКЕИ</t>
  </si>
  <si>
    <t>383</t>
  </si>
  <si>
    <t>Департамент образования, культуры и спорта Ненецкого автономного округа</t>
  </si>
  <si>
    <t>(наименование органа, осуществляющего функции и полмочия учредителя)</t>
  </si>
  <si>
    <t>(адрес фактического местонахождения государственного бюджетного учреждения)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</si>
  <si>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</si>
  <si>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</si>
  <si>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</si>
  <si>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на платной основе: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</si>
  <si>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</si>
  <si>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</si>
  <si>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</si>
  <si>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</si>
  <si>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</si>
  <si>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</si>
  <si>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</si>
  <si>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</si>
  <si>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</si>
  <si>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</si>
  <si>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</si>
  <si>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</si>
  <si>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</si>
  <si>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</si>
  <si>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</si>
  <si>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</si>
  <si>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</si>
  <si>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</si>
  <si>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</si>
  <si>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</si>
  <si>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</si>
  <si>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</si>
  <si>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</si>
  <si>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</si>
  <si>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</si>
  <si>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</si>
  <si>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</si>
  <si>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</si>
  <si>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</si>
  <si>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</si>
  <si>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</si>
  <si>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</si>
  <si>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</si>
  <si>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</si>
  <si>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</si>
  <si>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</si>
  <si>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</si>
  <si>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</si>
  <si>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</si>
  <si>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</si>
  <si>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</si>
  <si>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</si>
  <si>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</si>
  <si>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</si>
  <si>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</si>
  <si>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</si>
  <si>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</si>
  <si>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</si>
  <si>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</si>
  <si>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</si>
  <si>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</si>
  <si>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</si>
  <si>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</si>
  <si>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</si>
  <si>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</si>
  <si>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имущества</t>
  </si>
  <si>
    <t>прочую закупку товаров, работ и услуг, всего</t>
  </si>
  <si>
    <t>капитальные вложения в объекты государственной собственности, всего</t>
  </si>
  <si>
    <t>приобретение объектов недвижимого имущества государственными учреждениями</t>
  </si>
  <si>
    <t>строительство (реконструкция) объектов недвижимого имущества государственными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</si>
  <si>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</si>
  <si>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</si>
  <si>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</si>
  <si>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</si>
  <si>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</si>
  <si>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</si>
  <si>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(наименование должности руководителя)</t>
  </si>
  <si>
    <t xml:space="preserve">     </t>
  </si>
  <si>
    <t xml:space="preserve">Главный бухгалтер     </t>
  </si>
  <si>
    <t>Исполнитель</t>
  </si>
  <si>
    <t>"___" _____________ 20__ г.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</si>
  <si>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</si>
  <si>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</si>
  <si>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</si>
  <si>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</si>
  <si>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</si>
  <si>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</si>
  <si>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  <r>
      <rPr>
        <sz val="11"/>
        <color indexed="12"/>
        <rFont val="Times New Roman"/>
        <family val="1"/>
        <charset val="204"/>
      </rPr>
      <t>&lt;12&gt;</t>
    </r>
  </si>
  <si>
    <t>1.2.</t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</si>
  <si>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&lt;12&gt;</t>
    </r>
  </si>
  <si>
    <t>1.3.</t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</si>
  <si>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&lt;13&gt;</t>
    </r>
  </si>
  <si>
    <t>1.4.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</si>
  <si>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&lt;13&gt;</t>
    </r>
  </si>
  <si>
    <t>1.4.1.</t>
  </si>
  <si>
    <t>за счет субсидий, предоставляемых на финансовое обеспечение выполнения государственного задания</t>
  </si>
  <si>
    <t>1.4.1.1.</t>
  </si>
  <si>
    <t>в соответствии с Федеральным законом N 44-ФЗ</t>
  </si>
  <si>
    <t>1.4.1.2.</t>
  </si>
  <si>
    <r>
      <t xml:space="preserve">в соответствии с Федеральным </t>
    </r>
    <r>
      <rPr>
        <sz val="11"/>
        <color indexed="12"/>
        <rFont val="Times New Roman"/>
        <family val="1"/>
        <charset val="204"/>
      </rPr>
      <t>законом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&lt;14&gt;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</si>
  <si>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</si>
  <si>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</si>
  <si>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</si>
  <si>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</si>
  <si>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</si>
  <si>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</si>
  <si>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</si>
  <si>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</si>
  <si>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</si>
  <si>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</si>
  <si>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</si>
  <si>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</si>
  <si>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</si>
  <si>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</si>
  <si>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</si>
  <si>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color indexed="12"/>
        <rFont val="Times New Roman"/>
        <family val="1"/>
        <charset val="204"/>
      </rPr>
      <t>законом</t>
    </r>
    <r>
      <rPr>
        <sz val="11"/>
        <rFont val="Times New Roman"/>
        <family val="1"/>
        <charset val="204"/>
      </rPr>
      <t xml:space="preserve"> N 44-ФЗ, по соответствующему году закупки </t>
    </r>
    <r>
      <rPr>
        <sz val="11"/>
        <color indexed="12"/>
        <rFont val="Times New Roman"/>
        <family val="1"/>
        <charset val="204"/>
      </rPr>
      <t>&lt;16&gt;</t>
    </r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</si>
  <si>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</si>
  <si>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</si>
  <si>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Руководитель учреждения (уполномоченное лицо учреждения)</t>
  </si>
  <si>
    <t xml:space="preserve">Исполнитель </t>
  </si>
  <si>
    <t xml:space="preserve">  (фамилия, инициалы)</t>
  </si>
  <si>
    <t xml:space="preserve"> (телефон)</t>
  </si>
  <si>
    <t>"____" __________ 20__ г.</t>
  </si>
  <si>
    <t>СОГЛАСОВАНО</t>
  </si>
  <si>
    <t>(наименование должности уполномоченного лица органа-учредителя)</t>
  </si>
  <si>
    <t xml:space="preserve">"_____"___________ </t>
  </si>
  <si>
    <t>20_____ г.</t>
  </si>
  <si>
    <t>Раздел 3. Свод затрат по мероприятиям</t>
  </si>
  <si>
    <t>Код по бюджетной классификации Российской Федерации</t>
  </si>
  <si>
    <t>Всего по учреждению</t>
  </si>
  <si>
    <t>всего</t>
  </si>
  <si>
    <t>в том числе</t>
  </si>
  <si>
    <t>на выполнение государственного задания, всего</t>
  </si>
  <si>
    <t>остаток субсидии предыдущего года на выполнение государственного задания</t>
  </si>
  <si>
    <t>на выполнение государственного задания</t>
  </si>
  <si>
    <t>иные субсидии</t>
  </si>
  <si>
    <t>на выполнение услуг по иной, приносящей доход деятельности</t>
  </si>
  <si>
    <t>безвозмездные поступления</t>
  </si>
  <si>
    <t>на оказание услуг</t>
  </si>
  <si>
    <t>на выполнение работ</t>
  </si>
  <si>
    <t>1.</t>
  </si>
  <si>
    <t>Выплаты персоналу, всего</t>
  </si>
  <si>
    <t>3 дня пособия нетрудоспособ  за счет работодателя</t>
  </si>
  <si>
    <t>выплаты по сокращению</t>
  </si>
  <si>
    <t>262/838</t>
  </si>
  <si>
    <t>Оплата проезда к месту нахождения учебного заведен</t>
  </si>
  <si>
    <t>Льготный проезд</t>
  </si>
  <si>
    <t>Командировочные расходы</t>
  </si>
  <si>
    <t>Начисления на выплаты по оплате труда</t>
  </si>
  <si>
    <t>2.</t>
  </si>
  <si>
    <t>Расходы на закупку товаров, работ, услуг, всего</t>
  </si>
  <si>
    <t>Услуги связи, всего</t>
  </si>
  <si>
    <t>из них</t>
  </si>
  <si>
    <t>Коммунальные услуги, всего</t>
  </si>
  <si>
    <t>тепло</t>
  </si>
  <si>
    <t>электро</t>
  </si>
  <si>
    <t>водо</t>
  </si>
  <si>
    <t>Арендная плата за пользование имуществом</t>
  </si>
  <si>
    <t>Работы, услуги по содержанию имущества, всего</t>
  </si>
  <si>
    <t>пожарка</t>
  </si>
  <si>
    <t>содержание имущества</t>
  </si>
  <si>
    <t>ремонт</t>
  </si>
  <si>
    <t>Прочие работы, услуги, всего</t>
  </si>
  <si>
    <t>курсы</t>
  </si>
  <si>
    <t>Услуги, работы для целей капитальных вложений</t>
  </si>
  <si>
    <t>3.</t>
  </si>
  <si>
    <t>Безвозмездные перечисления организациям</t>
  </si>
  <si>
    <t>безвозмездные перечисления государственным организациям</t>
  </si>
  <si>
    <t>4.</t>
  </si>
  <si>
    <t>Социальные и иные выплаты, всего</t>
  </si>
  <si>
    <t>пособия по социальной помощи</t>
  </si>
  <si>
    <t>Другие пособия и выплаты</t>
  </si>
  <si>
    <t>262/836</t>
  </si>
  <si>
    <t>денежные поощрения отличникам</t>
  </si>
  <si>
    <t>Выплаты специалистам, работающим и проживающим в сельских населённых пунктах Ненецкого автономного округа</t>
  </si>
  <si>
    <t>263/840</t>
  </si>
  <si>
    <t>пенсии, пособия, выплачиваемые организациями сектора государственного управления</t>
  </si>
  <si>
    <t>5.</t>
  </si>
  <si>
    <t>Уплата налогов, сборов и иных платежей, всего</t>
  </si>
  <si>
    <t>291/851</t>
  </si>
  <si>
    <t>291/851.1</t>
  </si>
  <si>
    <t>прочие расходы (кроме расходов на закупку товаров, работ, услуг), всего</t>
  </si>
  <si>
    <t>Госпошлина</t>
  </si>
  <si>
    <t>292/852</t>
  </si>
  <si>
    <t>Штрафы. Пени</t>
  </si>
  <si>
    <t>292,293,295/853</t>
  </si>
  <si>
    <t>6.</t>
  </si>
  <si>
    <t>Поступление нефинансовых активов, всего</t>
  </si>
  <si>
    <t>увеличение стоимости основных средств</t>
  </si>
  <si>
    <t>приобретение учебников для общеобразовательных учр</t>
  </si>
  <si>
    <t>прочие основные средства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</si>
  <si>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</si>
  <si>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</si>
  <si>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запасов, всего</t>
  </si>
  <si>
    <t>медикаменты и перевязочный материал</t>
  </si>
  <si>
    <t>продукты питания</t>
  </si>
  <si>
    <t>342/530,532,535,536</t>
  </si>
  <si>
    <t>строительный материал</t>
  </si>
  <si>
    <t>мягкий инвентарь</t>
  </si>
  <si>
    <t>прочий материальный запас</t>
  </si>
  <si>
    <t>прочий МЗ однократного применения (сувенирка, вода)</t>
  </si>
  <si>
    <t>7.</t>
  </si>
  <si>
    <t>Поступление финансовых активов, всего</t>
  </si>
  <si>
    <t>Из них: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</si>
  <si>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</si>
  <si>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</si>
  <si>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8.</t>
  </si>
  <si>
    <t>Выбытие финансовых активов, всего</t>
  </si>
  <si>
    <t>уменьшение остатков средств</t>
  </si>
  <si>
    <t>прочие выбытия</t>
  </si>
  <si>
    <t>Транспортный участок (водители)</t>
  </si>
  <si>
    <t>Транспортный участок (Техобслуживание и тех. ремонт транспорта)</t>
  </si>
  <si>
    <t>9.</t>
  </si>
  <si>
    <t>ИТОГО РАСХОДОВ</t>
  </si>
  <si>
    <t>10.</t>
  </si>
  <si>
    <t>Распределяемые расходы, всего</t>
  </si>
  <si>
    <t>Общепроизводственные расходы</t>
  </si>
  <si>
    <t>Общехозяйственные расходы</t>
  </si>
  <si>
    <t>11.</t>
  </si>
  <si>
    <t>ВСЕГО РАСХОДОВ</t>
  </si>
  <si>
    <t>за счет федерального бюджета</t>
  </si>
  <si>
    <t>за счет окружного бюджета</t>
  </si>
  <si>
    <t>за счет городского бюджета</t>
  </si>
  <si>
    <t>за счет дорожного фонда</t>
  </si>
  <si>
    <t>за счет приносящей доход деятельности</t>
  </si>
  <si>
    <t>за счет безвозмездных поступлений</t>
  </si>
  <si>
    <t>12.</t>
  </si>
  <si>
    <t>Поступления от доходов, всего</t>
  </si>
  <si>
    <t>12.1.</t>
  </si>
  <si>
    <t>Доходы от оказания услуг, работ, компенсации затрат учреждений, всего, в том числе</t>
  </si>
  <si>
    <t>Субсидии на финансовое обеспечение выполнения государственного задания, всего</t>
  </si>
  <si>
    <t>из федерального бюджета</t>
  </si>
  <si>
    <t>из окружного бюджета</t>
  </si>
  <si>
    <t>из городского бюджета</t>
  </si>
  <si>
    <t>субсидии, предоставляемые в соответствии с абзацем вторым пункта 1 статьи 78.1 Бюджетного кодекса РФ</t>
  </si>
  <si>
    <t>из бюджета Федерального фонда обязательного медицинского страхования</t>
  </si>
  <si>
    <t>средства обязательного медицинского страхования</t>
  </si>
  <si>
    <t>из средств дорожного фонда</t>
  </si>
  <si>
    <t>12.2.</t>
  </si>
  <si>
    <t>Доходы от штрафов, пеней, иных сумм принудительного изъятия, всего</t>
  </si>
  <si>
    <t>12.3.</t>
  </si>
  <si>
    <t>Безвозмездные денежные поступления, всего</t>
  </si>
  <si>
    <t>12.4.</t>
  </si>
  <si>
    <t>Прочие доходы, всего</t>
  </si>
  <si>
    <t>12.5.</t>
  </si>
  <si>
    <t>Прочие поступления, всего</t>
  </si>
  <si>
    <t>х</t>
  </si>
  <si>
    <t>13.</t>
  </si>
  <si>
    <t>Остаток средств на начало года</t>
  </si>
  <si>
    <t>14.</t>
  </si>
  <si>
    <t>Выплаты, уменьшающие доход, всего</t>
  </si>
  <si>
    <t>том числе:</t>
  </si>
  <si>
    <t>налог на прибыль</t>
  </si>
  <si>
    <t>налог на добавленную стоимость</t>
  </si>
  <si>
    <t>прочие налоги, уменьшающие доход</t>
  </si>
  <si>
    <t>15.</t>
  </si>
  <si>
    <t>Возврат средств, всего</t>
  </si>
  <si>
    <t>16.</t>
  </si>
  <si>
    <t>Остаток средств на конец года</t>
  </si>
  <si>
    <t>Наименование  должности</t>
  </si>
  <si>
    <t>Кол-во штатных единиц</t>
  </si>
  <si>
    <t xml:space="preserve">Должностной оклад </t>
  </si>
  <si>
    <t>Должностной оклад  от размера ставки</t>
  </si>
  <si>
    <t>Надбавка за стаж работы</t>
  </si>
  <si>
    <t>Надбавка молодому специалисту</t>
  </si>
  <si>
    <t>Вредные условия труда</t>
  </si>
  <si>
    <t>Поощрительная надбавка за звание, категорию</t>
  </si>
  <si>
    <t>оплата в ночное время</t>
  </si>
  <si>
    <t>Доплата до МРОТ (до 12 130,00)</t>
  </si>
  <si>
    <t>ИТОГО в месяц</t>
  </si>
  <si>
    <t>ИТОГО в год</t>
  </si>
  <si>
    <t>Всего руководители</t>
  </si>
  <si>
    <t>Специалисты, служащие</t>
  </si>
  <si>
    <t>Всего специалисты, служащие</t>
  </si>
  <si>
    <t>Технический, прочий персонал</t>
  </si>
  <si>
    <t>Всего технический, прочий персонал</t>
  </si>
  <si>
    <t>ВСЕГО по учреждению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</si>
  <si>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</si>
  <si>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</si>
  <si>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</si>
  <si>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1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</si>
  <si>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</si>
  <si>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</si>
  <si>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</si>
  <si>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</si>
  <si>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</si>
  <si>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</si>
  <si>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</si>
  <si>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</si>
  <si>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</si>
  <si>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</si>
  <si>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</si>
  <si>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</si>
  <si>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</si>
  <si>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</si>
  <si>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</si>
  <si>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</si>
  <si>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</si>
  <si>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</si>
  <si>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3</t>
  </si>
  <si>
    <t>Страховые взносы в Федеральный фонд обязательного медицинского страхования, всего (по ставке 5,1%)</t>
  </si>
  <si>
    <t>Расходы на медосмотры</t>
  </si>
  <si>
    <t>КОСГУ 310/914</t>
  </si>
  <si>
    <r>
      <rPr>
        <b/>
        <sz val="11"/>
        <color theme="1"/>
        <rFont val="Times New Roman"/>
        <family val="1"/>
        <charset val="204"/>
      </rPr>
      <t>КОСГУ 349/845</t>
    </r>
    <r>
      <rPr>
        <sz val="11"/>
        <color theme="1"/>
        <rFont val="Times New Roman"/>
        <family val="1"/>
        <charset val="204"/>
      </rPr>
      <t xml:space="preserve"> Прочие материальные запасы однократного применения (подарки, суверниры, грамоты, благодарственные письма, цветы)</t>
    </r>
  </si>
  <si>
    <t>Капитальный ремонт</t>
  </si>
  <si>
    <t>Расчет субсидии на организацию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 на 2020 год</t>
  </si>
  <si>
    <t>Расчет затрат на оказание государственной услуги и питание воспитанников лагеря, город</t>
  </si>
  <si>
    <t>Расчет затрат на оказание государственной услуги и питание воспитанников лагеря, село</t>
  </si>
  <si>
    <t>Фактическое кол-во детей в 2019</t>
  </si>
  <si>
    <t>Кол-во дето-дней (продолжи-тельность 1 смены - 21 день)</t>
  </si>
  <si>
    <t>Размер ФОТ с начислениями (начальник лагеря) с учетом  индексации 1,042</t>
  </si>
  <si>
    <t>Размер ФОТ с начислениями (воспитатель) с учетом  индексации 1,042</t>
  </si>
  <si>
    <t>Размер ФОТ с начислениями (педагог-организатор) с учетом  индексации 1,042</t>
  </si>
  <si>
    <t>Размер ФОТ с начислениями (музыкальный руководитель) с учетом  индексации 1,042</t>
  </si>
  <si>
    <t>Размер ФОТ с начислениями (инструктор по физической культуре)  с учетом  индексации 1,042</t>
  </si>
  <si>
    <t>Размер ФОТ с начислениями (медицинская сестра)</t>
  </si>
  <si>
    <t>Итого расходы на оплату труда и начисления на оплату труда, руб.</t>
  </si>
  <si>
    <t>Расходы на питание</t>
  </si>
  <si>
    <t>Расходы на проведение мероприятий</t>
  </si>
  <si>
    <t>Количество работников пищеблоков летней площадки, чел.</t>
  </si>
  <si>
    <t>Стоимость проведения анализа проб на одного работника пищеблока*, руб.</t>
  </si>
  <si>
    <t>ВСЕГО расходы на оказание гос. услуги, руб.</t>
  </si>
  <si>
    <t>Средняя стоимость 1 путевки пришкольного лагеря, руб.</t>
  </si>
  <si>
    <t>Итого стоимость 1 путевки пришкольного лагеря, руб.</t>
  </si>
  <si>
    <t xml:space="preserve">Фактическая численность персонала </t>
  </si>
  <si>
    <t>Сумма начисленной заработной платы, руб.</t>
  </si>
  <si>
    <t>Сумма начислений на оплату труда, руб.</t>
  </si>
  <si>
    <t>Сумма заключенного договора, руь.</t>
  </si>
  <si>
    <t>фактические сложившаяся стоимость одного дня</t>
  </si>
  <si>
    <t>Сумма расходов на приобретение продуктов питания, руб.</t>
  </si>
  <si>
    <t xml:space="preserve">Численность </t>
  </si>
  <si>
    <t>Сумма заключенного договора с меицинской организацией, руб.</t>
  </si>
  <si>
    <t>Фактически сложившаяся стоимость на 1 ребенка, руб.</t>
  </si>
  <si>
    <t>Сумма расходов на проведение мероприятий, руб.</t>
  </si>
  <si>
    <t>Расчет субсидии на 2020 год</t>
  </si>
  <si>
    <t>Средняя стоимость путевки пришкольного лагеря</t>
  </si>
  <si>
    <t>Плановая численность на 2020 год</t>
  </si>
  <si>
    <t>Сумма субсиии на 2020 год</t>
  </si>
  <si>
    <t>Сумма субсиии на 2021 год</t>
  </si>
  <si>
    <t>Сумма субсиии на 2022 год</t>
  </si>
  <si>
    <t>Село</t>
  </si>
  <si>
    <t>Плановая стоимость одного дня питания (266,90*1,042) рублей</t>
  </si>
  <si>
    <t>Субсидия бюджетным учреждениям на компенсацию расходов на оплату стоимости проезда и провоза багажа к месту использования отпуска и обратно всего, в т.ч.</t>
  </si>
  <si>
    <t>Субсидия бюджетным учреждениям на возмещение затрат по коммунальным услугам всего, в т.ч.</t>
  </si>
  <si>
    <t>Выплаты специалистам, работающим и проживающим в сельских населённых пунктах Ненецкого автономного округа всего, в т.ч.</t>
  </si>
  <si>
    <t>Обеспечение антитеррористической защищенности объектов (территории) образовательных организаций Ненецкого автономного округа всего, в т.ч.</t>
  </si>
  <si>
    <t>Субсидия бюджетным учреждениям на организацию и обеспечение питания обучающихся в государственных общеобразовательных учреждениях всего, в т.ч.</t>
  </si>
  <si>
    <t>Субсидия бюджетным учреждениям на организацию и проведение мероприятий, напрвленных на приобщение к труду  детей в возрасте от 14 до 18 лет, в свободное от учебы время всего, в т.ч.</t>
  </si>
  <si>
    <t>Выплаты ежемесячных стипендий обучающимся "на отлично" в государственных общеобразовательных организациях Ненецкого автономного округа всего, в т.ч.</t>
  </si>
  <si>
    <t>Организация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 всего, в т.ч.</t>
  </si>
  <si>
    <t>7С47</t>
  </si>
  <si>
    <t>7С56</t>
  </si>
  <si>
    <t>7А06</t>
  </si>
  <si>
    <t>В штате не предусмотрен</t>
  </si>
  <si>
    <t>л</t>
  </si>
  <si>
    <t>7С470</t>
  </si>
  <si>
    <t>7С560</t>
  </si>
  <si>
    <t>7А060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</si>
  <si>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</si>
  <si>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</si>
  <si>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</si>
  <si>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</si>
  <si>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 xml:space="preserve">Количество 
</t>
  </si>
  <si>
    <t>Сумма, руб. 
(гр. 3 x гр. 4 x 
гр. 5)</t>
  </si>
  <si>
    <t>суточные</t>
  </si>
  <si>
    <t>проживание</t>
  </si>
  <si>
    <t>проезд</t>
  </si>
  <si>
    <t>4</t>
  </si>
  <si>
    <t>проезд к месту учебы и обратно</t>
  </si>
  <si>
    <t xml:space="preserve">Итого: 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</si>
  <si>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</si>
  <si>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</si>
  <si>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</si>
  <si>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</si>
  <si>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(Государственное задание)</t>
  </si>
  <si>
    <t>1.5.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</si>
  <si>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</si>
  <si>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</si>
  <si>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</si>
  <si>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</si>
  <si>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291.1</t>
  </si>
  <si>
    <t>Прочие сборы, штрафы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</si>
  <si>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</si>
  <si>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</si>
  <si>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Количество платежей в год</t>
  </si>
  <si>
    <t>Стоимость за единицу, руб.</t>
  </si>
  <si>
    <t>Связь</t>
  </si>
  <si>
    <t xml:space="preserve"> Итого:</t>
  </si>
  <si>
    <t>2.2.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</si>
  <si>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</si>
  <si>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</si>
  <si>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</si>
  <si>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Доставка груза</t>
  </si>
  <si>
    <t>2.3. Расчет (обоснование) расходов на оплату аренды имущества</t>
  </si>
  <si>
    <t>Ставка 
арендной 
платы</t>
  </si>
  <si>
    <t>Стоимость 
с учетом НДС, 
руб.</t>
  </si>
  <si>
    <t>2.4.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</si>
  <si>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</si>
  <si>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</si>
  <si>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</si>
  <si>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Услуги по содержанию имущество</t>
  </si>
  <si>
    <t>Техобслуживание здания</t>
  </si>
  <si>
    <t xml:space="preserve">Вывоз сухого мусора </t>
  </si>
  <si>
    <t>Текущий ремонт</t>
  </si>
  <si>
    <t>2.5. Расчет (обоснование) расходов на оплату прочих работ, услуг</t>
  </si>
  <si>
    <t>Количество договоров</t>
  </si>
  <si>
    <t>Стоимость 
услуги, руб.</t>
  </si>
  <si>
    <t>прочие услуги</t>
  </si>
  <si>
    <t>медосмотры</t>
  </si>
  <si>
    <t>промывка системы отопления</t>
  </si>
  <si>
    <t>2.6.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</si>
  <si>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</si>
  <si>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</si>
  <si>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310</t>
  </si>
  <si>
    <t>Увеличение стоимости основных средств</t>
  </si>
  <si>
    <t>341</t>
  </si>
  <si>
    <t>Увеличение стоимости лекарственных препаратов и материалов, применяемых в медицинских целях</t>
  </si>
  <si>
    <t>342</t>
  </si>
  <si>
    <t>Увеличение стоимости продуктов питания</t>
  </si>
  <si>
    <t>343</t>
  </si>
  <si>
    <t>Увеличение стоимости горюче-смазочных материалов</t>
  </si>
  <si>
    <t>344</t>
  </si>
  <si>
    <t>Увеличение стоимости строительных материалов</t>
  </si>
  <si>
    <t>345</t>
  </si>
  <si>
    <t>Увеличение стоимости мягкого инвентаря</t>
  </si>
  <si>
    <t>346</t>
  </si>
  <si>
    <t>Увеличение стоимости прочих оборотных запасов (материалов)</t>
  </si>
  <si>
    <t>349</t>
  </si>
  <si>
    <t>Увеличение стоимости материальных запасов однократного применения</t>
  </si>
  <si>
    <t>1.1. Расчеты (обоснования) выплат персоналу по уходу за ребенком</t>
  </si>
  <si>
    <t>15.1.02.74500</t>
  </si>
  <si>
    <t>Пособие по уходу за ребенком до 3-х лет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</si>
  <si>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(Питание)</t>
  </si>
  <si>
    <t>1.3. Расчет (обоснование) расходов на приобретение продуктов питания в школе</t>
  </si>
  <si>
    <t>530</t>
  </si>
  <si>
    <t>531</t>
  </si>
  <si>
    <t>532</t>
  </si>
  <si>
    <t>535</t>
  </si>
  <si>
    <t>536</t>
  </si>
  <si>
    <t>550</t>
  </si>
  <si>
    <t>1.4. Расчет (обоснование) расходов на оплату транспортных услуг</t>
  </si>
  <si>
    <t>2.1.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(Классное руководство за работу в группах)</t>
  </si>
  <si>
    <t>15.Ц.00.74610</t>
  </si>
  <si>
    <t>0701</t>
  </si>
  <si>
    <t>2.2.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(Классное руководство )</t>
  </si>
  <si>
    <t>0702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</si>
  <si>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</si>
  <si>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3.1.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</si>
  <si>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</si>
  <si>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</si>
  <si>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Общая сумма выплат, руб. 
(гр. 3 x гр. 4)</t>
  </si>
  <si>
    <t>19.1.08.7С470</t>
  </si>
  <si>
    <t>найм жилья</t>
  </si>
  <si>
    <t>коммунальные расходы</t>
  </si>
  <si>
    <t>4.1. Расчеты (обоснования) расходов на социальные и иные выплаты населению</t>
  </si>
  <si>
    <t>Выплаты ежемесячных стипендий обучающимся "на отлично" в государственных общеобразовательных организациях Ненецкого автономного округа</t>
  </si>
  <si>
    <t>19.1.11.7С560</t>
  </si>
  <si>
    <t>1-4 класс</t>
  </si>
  <si>
    <t>5-9 класс</t>
  </si>
  <si>
    <t>10-11 класс</t>
  </si>
  <si>
    <t>5.1. Расчет (обоснование) расходов на компенсацию расходов на оплату стоимости проезда и провоза багажа к месту использлвания отпуска и обратно</t>
  </si>
  <si>
    <t>15.1.02.70190</t>
  </si>
  <si>
    <t>6.1. Расчет (обоснование) прочих расходов 
(Установка (расширение) единых функционирующих систем и проведение работ по их модернизации (охранной сигнализации, системы видеонаблюдения и контроля доступа)</t>
  </si>
  <si>
    <t>02.3.01.7P150</t>
  </si>
  <si>
    <t>Основная школа</t>
  </si>
  <si>
    <t>детский сад</t>
  </si>
  <si>
    <t>7.1. Расчет (обоснование) расходов на оплату коммунальных услуг</t>
  </si>
  <si>
    <t>15.1.02.70200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</si>
  <si>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</si>
  <si>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</si>
  <si>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</si>
  <si>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</si>
  <si>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721</t>
  </si>
  <si>
    <t>Теплоснабжение</t>
  </si>
  <si>
    <t>730</t>
  </si>
  <si>
    <t>Электроэнергия</t>
  </si>
  <si>
    <t>740</t>
  </si>
  <si>
    <t>Водоснабжение</t>
  </si>
  <si>
    <t>226</t>
  </si>
  <si>
    <t>9.1. Расчет (обоснование) прочих расходов 
Мероприятия по развитию учебно-материальной базы по военно-патриотическому воспитанию детей и молодёжи</t>
  </si>
  <si>
    <t>16.3.02.7М160</t>
  </si>
  <si>
    <t>Военная форма</t>
  </si>
  <si>
    <t>Атрибутика, инвентарь</t>
  </si>
  <si>
    <t>10.1. Расчет (обоснование) прочих расходов 
(Организация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включительно))</t>
  </si>
  <si>
    <t>29.1.02.7A060</t>
  </si>
  <si>
    <t>вн/бюджет</t>
  </si>
  <si>
    <t>вн/бюджет питание</t>
  </si>
  <si>
    <t>Образовательная деятельность по образовательным программам начального общего, основного общего, среднего общего образования</t>
  </si>
  <si>
    <t>Реализация общеобразовательной программы начального общего образования, основного общего образования, среднего общего образования</t>
  </si>
  <si>
    <t>Фактические расходы за 2018 год</t>
  </si>
  <si>
    <t>Лица, имеющие право на проезд в отпуск и обратно</t>
  </si>
  <si>
    <t>Сумма, рублей</t>
  </si>
  <si>
    <t>Работники</t>
  </si>
  <si>
    <t>Потребность в 2019 году</t>
  </si>
  <si>
    <t>Лимиты бюджетных ассигнований на 2019 год, рублей</t>
  </si>
  <si>
    <t>Сумма возмещения на 1 человека</t>
  </si>
  <si>
    <t>не более 45000 рублей</t>
  </si>
  <si>
    <t>Проект 2020 год</t>
  </si>
  <si>
    <t>Электроснабжение</t>
  </si>
  <si>
    <t xml:space="preserve">Газоснабжение </t>
  </si>
  <si>
    <t>Холодное водоснабжение</t>
  </si>
  <si>
    <t>Горячее водоснабжение</t>
  </si>
  <si>
    <t>Водоотведение</t>
  </si>
  <si>
    <t>Фактические расходы 2018 год</t>
  </si>
  <si>
    <t>куб. м</t>
  </si>
  <si>
    <t>По договору на 2019 год</t>
  </si>
  <si>
    <t>*</t>
  </si>
  <si>
    <t>Проект 2021 год 1 полугодие</t>
  </si>
  <si>
    <t>Проект 2021 год 2 полугодие</t>
  </si>
  <si>
    <t>Проект 2022 год 1 полугодие</t>
  </si>
  <si>
    <t>Проект 2022 год 2 полугодие</t>
  </si>
  <si>
    <t>Расходы на вывоз жидких и твердых бытовых отходов</t>
  </si>
  <si>
    <t>Вывоз твердых бытовых отходов</t>
  </si>
  <si>
    <t>Вывоз жидких бытовых отходов</t>
  </si>
  <si>
    <t xml:space="preserve"> Транспортные услуги</t>
  </si>
  <si>
    <t>Услуги за утилизацию</t>
  </si>
  <si>
    <t>**</t>
  </si>
  <si>
    <t>Рассчитывается исходя из коммерческих предложений</t>
  </si>
  <si>
    <t>Рассчитывается исходя из прогнозируемых тарифов</t>
  </si>
  <si>
    <t>Расходы на приобретение твердого топлива и газа в баллонах</t>
  </si>
  <si>
    <t>Дрова</t>
  </si>
  <si>
    <t>Транспортные расходы на перевозку дров</t>
  </si>
  <si>
    <t>Уголь</t>
  </si>
  <si>
    <t>Транспортные расходы на перевозку угля</t>
  </si>
  <si>
    <t>Бытовой газ в баллонах</t>
  </si>
  <si>
    <t>Транспортные расходы на перевозку бытового газа в баллонах</t>
  </si>
  <si>
    <t>2020 год 1 полугодие</t>
  </si>
  <si>
    <t>2020 год 2 полугодие</t>
  </si>
  <si>
    <t>Расчет затрат на обеспечение продуктами питания  школьников (школьные завтраки) на 2019 год</t>
  </si>
  <si>
    <t>Сумма на продукты питания, учтённая в субсидии</t>
  </si>
  <si>
    <t>Расчет производится по видам льготников, имеющих право на бесплатное питание</t>
  </si>
  <si>
    <t>Расчет затрат на обеспечение продуктами питания воспитанников за 2018 год</t>
  </si>
  <si>
    <t>Фактическое количество воспитанников</t>
  </si>
  <si>
    <t>Количество дней работы учреждения в 2018 году</t>
  </si>
  <si>
    <t>Фактическое количество дето-дней в году</t>
  </si>
  <si>
    <t xml:space="preserve">Стоимость дето-дня </t>
  </si>
  <si>
    <t>Расчет затрат на обеспечение продуктами питания воспитанников за 2019 год*</t>
  </si>
  <si>
    <t>Количество воспитанников</t>
  </si>
  <si>
    <t>Количество дней работы учреждения в 2018 году (за 5 месяцев)</t>
  </si>
  <si>
    <t>Фактическое количество дето-дней в году (за 5 месяцев</t>
  </si>
  <si>
    <t>январь-май</t>
  </si>
  <si>
    <t>63,47</t>
  </si>
  <si>
    <t>407995,71</t>
  </si>
  <si>
    <t>Педагоги 18 чел</t>
  </si>
  <si>
    <t>ГБОУ НАО СШ п.Харута</t>
  </si>
  <si>
    <t>ГБОУ "СШ п.Харута"</t>
  </si>
  <si>
    <t>Расчет затрат на текущий и капитальный ремонт</t>
  </si>
  <si>
    <t>Имущество, подлежащее ремонту</t>
  </si>
  <si>
    <t>Вид ремонта</t>
  </si>
  <si>
    <t>Ремонтые работы</t>
  </si>
  <si>
    <t>сумма работы</t>
  </si>
  <si>
    <t>материал</t>
  </si>
  <si>
    <t>ед.из.</t>
  </si>
  <si>
    <t>S</t>
  </si>
  <si>
    <t>количество</t>
  </si>
  <si>
    <t>сумма</t>
  </si>
  <si>
    <t>здание школы</t>
  </si>
  <si>
    <t>текущий</t>
  </si>
  <si>
    <t>проект 2020</t>
  </si>
  <si>
    <t>покраска стен ,дверей</t>
  </si>
  <si>
    <t>эмаль</t>
  </si>
  <si>
    <t>кг</t>
  </si>
  <si>
    <t>покраска полов</t>
  </si>
  <si>
    <t>эмаль для пола</t>
  </si>
  <si>
    <t>замена окон</t>
  </si>
  <si>
    <t>оконные блоки</t>
  </si>
  <si>
    <t>побелка потолков</t>
  </si>
  <si>
    <t>краска белая вододиспарная</t>
  </si>
  <si>
    <t>проект 2021</t>
  </si>
  <si>
    <t>покраска дверей</t>
  </si>
  <si>
    <t>проект 2022</t>
  </si>
  <si>
    <t xml:space="preserve">покраска стен </t>
  </si>
  <si>
    <t>замена линолиума</t>
  </si>
  <si>
    <t>линолиум</t>
  </si>
  <si>
    <t>м</t>
  </si>
  <si>
    <r>
      <t>Расчет фонда оплаты труда по государственному заданию _</t>
    </r>
    <r>
      <rPr>
        <b/>
        <u/>
        <sz val="11"/>
        <color indexed="8"/>
        <rFont val="Times New Roman"/>
        <family val="1"/>
        <charset val="204"/>
      </rPr>
      <t>ГБОУ НАО "СШ п. Харута"</t>
    </r>
    <r>
      <rPr>
        <b/>
        <sz val="11"/>
        <color indexed="8"/>
        <rFont val="Times New Roman"/>
        <family val="1"/>
        <charset val="204"/>
      </rPr>
      <t>_______________________________________________________________</t>
    </r>
  </si>
  <si>
    <t>Надбавка спец.за работу в сельской местности</t>
  </si>
  <si>
    <t>Доведение до указов</t>
  </si>
  <si>
    <t>Иные выплаты (расписать)</t>
  </si>
  <si>
    <t>заместитель директора</t>
  </si>
  <si>
    <t>главный бухгалтер</t>
  </si>
  <si>
    <t>педагог-организатор</t>
  </si>
  <si>
    <t>педагог социальный</t>
  </si>
  <si>
    <t>педагог доп.образования</t>
  </si>
  <si>
    <t>воспитатель</t>
  </si>
  <si>
    <t>педагог-психолог</t>
  </si>
  <si>
    <t>преподаватель-организатор ОБЖ</t>
  </si>
  <si>
    <t>учителя, согласно тариф.списка</t>
  </si>
  <si>
    <t>учитель-логопед</t>
  </si>
  <si>
    <t>зав.библиотекой</t>
  </si>
  <si>
    <t>лаборант</t>
  </si>
  <si>
    <t>делопроизводитель</t>
  </si>
  <si>
    <t>специалист по закупкам</t>
  </si>
  <si>
    <t>бухгалтер</t>
  </si>
  <si>
    <t>начальник хоз. отдела</t>
  </si>
  <si>
    <t>гардеробщик</t>
  </si>
  <si>
    <t>дворник</t>
  </si>
  <si>
    <t>уборщик служебных помещений</t>
  </si>
  <si>
    <t>водитель мототр. средств</t>
  </si>
  <si>
    <t>рабочий по компл. обсл. и ремонту зданий</t>
  </si>
  <si>
    <t>кухонный рабочий</t>
  </si>
  <si>
    <t>повар детского питания</t>
  </si>
  <si>
    <t>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(Государственное задание)</t>
  </si>
  <si>
    <t>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(Питание)</t>
  </si>
  <si>
    <t>Расходы на повышение квалификации работников</t>
  </si>
  <si>
    <t>Направление повышения квалификации</t>
  </si>
  <si>
    <t>Примечание: Отдельно приложение по командировкам и курсам на 2020-2022 гг</t>
  </si>
  <si>
    <t>СЭД</t>
  </si>
  <si>
    <t xml:space="preserve">Расходы на огнезащитную обработку помещений </t>
  </si>
  <si>
    <t>Расходы на измерение сопротивления электропроводов, контурного заземления</t>
  </si>
  <si>
    <t>за санитар-эпидемиолог экспертизу (Федеральное бюджетное учреждение здравоохранения "Центр гигиены")</t>
  </si>
  <si>
    <t>Контент фильтр NetPolice Pro (компьютерный класс)</t>
  </si>
  <si>
    <t>Обновление справочно-информационной базы даннных Госфинансы</t>
  </si>
  <si>
    <t>Изготовление бланков аттестатов+ доставка до п. Харута (Почта России)</t>
  </si>
  <si>
    <t>по:</t>
  </si>
  <si>
    <t>Сумма на год</t>
  </si>
  <si>
    <t>Добрая  дорога  Детства</t>
  </si>
  <si>
    <t>Нарьяна -Вындер</t>
  </si>
  <si>
    <t>Педсовет</t>
  </si>
  <si>
    <t>Последний звонок</t>
  </si>
  <si>
    <t>Журналы:</t>
  </si>
  <si>
    <t>Вестник образования  России  с  приложениями  Комплект</t>
  </si>
  <si>
    <t>Госзаказ: управление, размещение, обеспепечение</t>
  </si>
  <si>
    <t>Детская роман газета</t>
  </si>
  <si>
    <t>Детская  энциклопедия</t>
  </si>
  <si>
    <t>Краеведческая  выставка  Приложение  к журналу Юный кравевед</t>
  </si>
  <si>
    <t>Инновационная школа</t>
  </si>
  <si>
    <t>Логопед с биб-кой и с приложениями  Учебно-игровой комплект</t>
  </si>
  <si>
    <t>Лучик</t>
  </si>
  <si>
    <t>Мультимедийный  урок</t>
  </si>
  <si>
    <t>Народное образование</t>
  </si>
  <si>
    <t>Нормативные  документы  образовательного  учреждения</t>
  </si>
  <si>
    <t>Охрана труда  и пожарная  безопасность  в образовательном учреждении</t>
  </si>
  <si>
    <t>Профессиональная  библиотека шк. Биб-каря  Приложение к журналу  Школьная  библиотека Серия 2</t>
  </si>
  <si>
    <t xml:space="preserve">Справочник   руководителя образовательного  учреждения </t>
  </si>
  <si>
    <t>Управление  начальной школой</t>
  </si>
  <si>
    <t>Управление современной школой</t>
  </si>
  <si>
    <t>Управляющий совет образовательного  учреждения Сегодня Завтра Послезавтра</t>
  </si>
  <si>
    <t>изготовление и регистрация  сертификата ключа эл.подписи</t>
  </si>
  <si>
    <r>
      <t xml:space="preserve">  </t>
    </r>
    <r>
      <rPr>
        <sz val="12"/>
        <color theme="1"/>
        <rFont val="Times New Roman"/>
        <family val="1"/>
        <charset val="204"/>
      </rPr>
      <t>Kaspersky Endpoint Security для бизнеса (30 шт)</t>
    </r>
  </si>
  <si>
    <t>месяц</t>
  </si>
  <si>
    <t>226/042</t>
  </si>
  <si>
    <t>Подписка на периодические издания</t>
  </si>
  <si>
    <t>Подписка на перидические издания</t>
  </si>
  <si>
    <t xml:space="preserve"> Затраты на подписку периодических изданий 226/042</t>
  </si>
  <si>
    <r>
      <rPr>
        <b/>
        <sz val="11"/>
        <color theme="1"/>
        <rFont val="Times New Roman"/>
        <family val="1"/>
        <charset val="204"/>
      </rPr>
      <t>КОСГУ 343/540</t>
    </r>
    <r>
      <rPr>
        <sz val="11"/>
        <color theme="1"/>
        <rFont val="Times New Roman"/>
        <family val="1"/>
        <charset val="204"/>
      </rPr>
      <t xml:space="preserve"> Горюче-смазочные материалы</t>
    </r>
  </si>
  <si>
    <t>Бумага цветная</t>
  </si>
  <si>
    <t>Карандаши цветные</t>
  </si>
  <si>
    <t>Карандаши простые</t>
  </si>
  <si>
    <t>Краска акварель</t>
  </si>
  <si>
    <t>Пластилин</t>
  </si>
  <si>
    <t>Альбом для рисования</t>
  </si>
  <si>
    <t>Тетрадь в клеточку</t>
  </si>
  <si>
    <t>Тетрадь общая  96 лист</t>
  </si>
  <si>
    <t>Ручка шариковая</t>
  </si>
  <si>
    <t>Набор ручек гелевых</t>
  </si>
  <si>
    <t>Бумага писчая</t>
  </si>
  <si>
    <t>Папка с Файлами</t>
  </si>
  <si>
    <t>Папка дело</t>
  </si>
  <si>
    <t>Тетрадь А4</t>
  </si>
  <si>
    <t>Мыло туалетное</t>
  </si>
  <si>
    <t>Салфетки бумажные</t>
  </si>
  <si>
    <t>Порошок стиральный</t>
  </si>
  <si>
    <t>Отбеливатель</t>
  </si>
  <si>
    <t>Доместос</t>
  </si>
  <si>
    <t>Перчатки резиновые</t>
  </si>
  <si>
    <t>Перчатки рабочие</t>
  </si>
  <si>
    <t>Мешки для мусора</t>
  </si>
  <si>
    <t>Тарелки глубокие</t>
  </si>
  <si>
    <t>Чашки</t>
  </si>
  <si>
    <t xml:space="preserve">Тарелки мелкие </t>
  </si>
  <si>
    <t>Спецодежда халаты</t>
  </si>
  <si>
    <t>Валенки</t>
  </si>
  <si>
    <t>Тапки</t>
  </si>
  <si>
    <t>крем для рук</t>
  </si>
  <si>
    <t>Бензин</t>
  </si>
  <si>
    <t>Масло моторное</t>
  </si>
  <si>
    <t>катриджи</t>
  </si>
  <si>
    <t>тряпки для пола</t>
  </si>
  <si>
    <t>салфетки для пыли</t>
  </si>
  <si>
    <t>Классные журналы</t>
  </si>
  <si>
    <r>
      <t xml:space="preserve">Приобретение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строительных материалов</t>
    </r>
  </si>
  <si>
    <r>
      <t xml:space="preserve">КОСГУ 344/550 </t>
    </r>
    <r>
      <rPr>
        <sz val="11"/>
        <color theme="1"/>
        <rFont val="Times New Roman"/>
        <family val="1"/>
        <charset val="204"/>
      </rPr>
      <t>Строительные материалы</t>
    </r>
  </si>
  <si>
    <t>770</t>
  </si>
  <si>
    <t>ТКО</t>
  </si>
  <si>
    <t>223/770</t>
  </si>
  <si>
    <t>8.1. Расчет (обоснование) расходов на Обеспечение антитеррористической защищённости объектов (территорий) образовательных организаций Ненецкого автономного округа</t>
  </si>
  <si>
    <t>Охрана</t>
  </si>
  <si>
    <t>15.2.02.74510</t>
  </si>
  <si>
    <t>25303
(Фед.кл.рук.)</t>
  </si>
  <si>
    <t>1R304
(Фед.питание 1-4 кл.)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</si>
  <si>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организациях, всего, в т.ч.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</si>
  <si>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всего, в т.ч.</t>
  </si>
  <si>
    <t>296/844</t>
  </si>
  <si>
    <t>Средства от приносящей доход деятельности</t>
  </si>
  <si>
    <t>21</t>
  </si>
  <si>
    <t>Директор</t>
  </si>
  <si>
    <t>ГБОУ НАО "Средняя школа №1 г.Нарьян-Мара с углубленным изучением отдельных предметов имени П.М. Спирихина""</t>
  </si>
  <si>
    <t xml:space="preserve">НА 2021 ГОД </t>
  </si>
  <si>
    <t>и плановый период 2022 и 2023 годов</t>
  </si>
  <si>
    <t>Ю. В. Канев</t>
  </si>
  <si>
    <t>ГБОУ НАО "СШ № 1 имени П.М. Спирихина"</t>
  </si>
  <si>
    <t>31289980</t>
  </si>
  <si>
    <t>8301020164/298301001</t>
  </si>
  <si>
    <t>166000, Ненецкий АО, г. Нарьян-Мар, ул. Ленина, дом № 23, корпус б</t>
  </si>
  <si>
    <t>Оплата Договоров ГПХ</t>
  </si>
  <si>
    <t>226/041</t>
  </si>
  <si>
    <t>Страхование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</si>
  <si>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всего, в т.ч.</t>
  </si>
  <si>
    <t>Обеспечение образовательных организаций материально-технической базой для внедрения цифровой образовательной среды всего, в т.ч.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</si>
  <si>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</si>
  <si>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</si>
  <si>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</si>
  <si>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на 2021 г. (текущий финансовый год)</t>
  </si>
  <si>
    <t>на 2022 г. 
(первый год планового периода)</t>
  </si>
  <si>
    <t>на 2023 г. 
(второй год планового периода)</t>
  </si>
  <si>
    <t>70330 (трудоустройство)</t>
  </si>
  <si>
    <t>Субсидии бюджетным учреждениям на организацию и проведение мероприятий, направленных на приобщение к труду детей в возрасте от 14 до 18 лет, в свободное от учёбы времявсего, в т.ч.</t>
  </si>
  <si>
    <t>5</t>
  </si>
  <si>
    <t>Медосмотр по авансовым отчетам</t>
  </si>
  <si>
    <t>закупку энергетических ресурсов</t>
  </si>
  <si>
    <t>Субсидии бюджетным учреждениям на обеспечение гарантий и компенсации расходов, связанных с переездом граждан, работающих в организациях, финансируемых из окружного бюджета всего, в т.ч.</t>
  </si>
  <si>
    <t>7463
(Доплата Фед.кл.рук.)</t>
  </si>
  <si>
    <t>Доплата до размера районного коэффициента, установленного законодательством Ненецкого автономного округа, при осуществлении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Ненецкого автономного округа всего, в т.ч.</t>
  </si>
  <si>
    <t>14</t>
  </si>
  <si>
    <t>декабря</t>
  </si>
  <si>
    <t>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</si>
</sst>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(* #,##0.00_);_(* \(#,##0.00\);_(* &quot;-&quot;??_);_(@_)"/>
    <numFmt numFmtId="168" formatCode="#,##0.00_ ;[Red]\-#,##0.00\ "/>
    <numFmt numFmtId="169" formatCode="#,##0.0"/>
    <numFmt numFmtId="170" formatCode="#,##0.00_ ;\-#,##0.0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58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31" fillId="0" borderId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/>
    <xf numFmtId="165" fontId="3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9" fillId="0" borderId="0"/>
    <xf numFmtId="0" fontId="14" fillId="0" borderId="0"/>
    <xf numFmtId="0" fontId="15" fillId="0" borderId="0"/>
    <xf numFmtId="0" fontId="15" fillId="0" borderId="0"/>
    <xf numFmtId="0" fontId="2" fillId="0" borderId="0"/>
    <xf numFmtId="0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8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2" applyFont="1" applyFill="1" applyAlignment="1">
      <alignment horizontal="center" vertical="center"/>
    </xf>
    <xf numFmtId="0" fontId="10" fillId="0" borderId="1" xfId="0" applyFont="1" applyBorder="1"/>
    <xf numFmtId="0" fontId="10" fillId="0" borderId="5" xfId="2" applyFont="1" applyFill="1" applyBorder="1" applyAlignment="1">
      <alignment horizontal="center" vertical="center"/>
    </xf>
    <xf numFmtId="0" fontId="17" fillId="0" borderId="6" xfId="2" applyNumberFormat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5" fontId="10" fillId="0" borderId="1" xfId="3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center"/>
    </xf>
    <xf numFmtId="165" fontId="10" fillId="0" borderId="0" xfId="3" applyFont="1" applyFill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7" fillId="0" borderId="1" xfId="11" applyFont="1" applyFill="1" applyBorder="1" applyAlignment="1">
      <alignment horizontal="center" vertical="center" wrapText="1"/>
    </xf>
    <xf numFmtId="0" fontId="10" fillId="0" borderId="0" xfId="20" applyFont="1" applyFill="1" applyAlignment="1">
      <alignment horizontal="center" vertical="center"/>
    </xf>
    <xf numFmtId="0" fontId="10" fillId="0" borderId="1" xfId="20" applyFont="1" applyFill="1" applyBorder="1" applyAlignment="1">
      <alignment horizontal="center" vertical="center" wrapText="1"/>
    </xf>
    <xf numFmtId="4" fontId="10" fillId="0" borderId="1" xfId="20" applyNumberFormat="1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/>
    </xf>
    <xf numFmtId="166" fontId="10" fillId="0" borderId="1" xfId="21" applyFont="1" applyFill="1" applyBorder="1" applyAlignment="1">
      <alignment horizontal="center" vertical="center"/>
    </xf>
    <xf numFmtId="4" fontId="10" fillId="0" borderId="1" xfId="20" applyNumberFormat="1" applyFont="1" applyFill="1" applyBorder="1" applyAlignment="1">
      <alignment horizontal="center" vertical="center"/>
    </xf>
    <xf numFmtId="0" fontId="17" fillId="0" borderId="1" xfId="20" applyFont="1" applyFill="1" applyBorder="1" applyAlignment="1">
      <alignment horizontal="center" vertical="center" wrapText="1"/>
    </xf>
    <xf numFmtId="0" fontId="17" fillId="0" borderId="1" xfId="20" applyNumberFormat="1" applyFont="1" applyFill="1" applyBorder="1" applyAlignment="1">
      <alignment horizontal="center" vertical="center" wrapText="1"/>
    </xf>
    <xf numFmtId="2" fontId="17" fillId="0" borderId="1" xfId="20" applyNumberFormat="1" applyFont="1" applyFill="1" applyBorder="1" applyAlignment="1">
      <alignment horizontal="center" vertical="center" wrapText="1"/>
    </xf>
    <xf numFmtId="0" fontId="17" fillId="0" borderId="0" xfId="8" applyFont="1" applyFill="1" applyAlignment="1">
      <alignment horizontal="center" vertical="center"/>
    </xf>
    <xf numFmtId="4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4" fontId="10" fillId="0" borderId="1" xfId="8" applyNumberFormat="1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horizontal="center" vertical="center" wrapText="1"/>
    </xf>
    <xf numFmtId="0" fontId="17" fillId="0" borderId="0" xfId="8" applyFont="1" applyFill="1" applyAlignment="1">
      <alignment horizontal="center" vertical="center" wrapText="1"/>
    </xf>
    <xf numFmtId="4" fontId="19" fillId="0" borderId="1" xfId="8" applyNumberFormat="1" applyFont="1" applyFill="1" applyBorder="1" applyAlignment="1">
      <alignment horizontal="center" vertical="center"/>
    </xf>
    <xf numFmtId="165" fontId="17" fillId="0" borderId="1" xfId="22" applyFont="1" applyFill="1" applyBorder="1" applyAlignment="1">
      <alignment horizontal="center" vertical="center" wrapText="1"/>
    </xf>
    <xf numFmtId="165" fontId="17" fillId="0" borderId="1" xfId="8" applyNumberFormat="1" applyFont="1" applyFill="1" applyBorder="1" applyAlignment="1">
      <alignment horizontal="center" vertical="center" wrapText="1"/>
    </xf>
    <xf numFmtId="4" fontId="17" fillId="0" borderId="1" xfId="8" applyNumberFormat="1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28" fillId="0" borderId="0" xfId="23" applyFont="1" applyAlignment="1">
      <alignment vertical="center" wrapText="1"/>
    </xf>
    <xf numFmtId="0" fontId="28" fillId="0" borderId="1" xfId="23" applyFont="1" applyBorder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4" fontId="28" fillId="0" borderId="7" xfId="23" applyNumberFormat="1" applyFont="1" applyBorder="1" applyAlignment="1">
      <alignment horizontal="center" vertical="center" wrapText="1"/>
    </xf>
    <xf numFmtId="9" fontId="28" fillId="0" borderId="7" xfId="23" applyNumberFormat="1" applyFont="1" applyBorder="1" applyAlignment="1">
      <alignment horizontal="center" vertical="center" wrapText="1"/>
    </xf>
    <xf numFmtId="10" fontId="28" fillId="0" borderId="7" xfId="23" applyNumberFormat="1" applyFont="1" applyBorder="1" applyAlignment="1">
      <alignment horizontal="center" vertical="center" wrapText="1"/>
    </xf>
    <xf numFmtId="0" fontId="28" fillId="0" borderId="0" xfId="23" applyFont="1" applyAlignment="1">
      <alignment horizontal="left" vertical="center" wrapText="1"/>
    </xf>
    <xf numFmtId="9" fontId="28" fillId="0" borderId="1" xfId="23" applyNumberFormat="1" applyFont="1" applyBorder="1" applyAlignment="1">
      <alignment horizontal="center" vertical="center" wrapText="1"/>
    </xf>
    <xf numFmtId="10" fontId="28" fillId="0" borderId="1" xfId="23" applyNumberFormat="1" applyFont="1" applyBorder="1" applyAlignment="1">
      <alignment horizontal="center" vertical="center" wrapText="1"/>
    </xf>
    <xf numFmtId="4" fontId="30" fillId="0" borderId="1" xfId="23" applyNumberFormat="1" applyFont="1" applyBorder="1" applyAlignment="1">
      <alignment horizontal="center" vertical="center" wrapText="1"/>
    </xf>
    <xf numFmtId="0" fontId="28" fillId="0" borderId="6" xfId="23" applyFont="1" applyBorder="1" applyAlignment="1">
      <alignment horizontal="center" vertical="center" wrapText="1"/>
    </xf>
    <xf numFmtId="0" fontId="27" fillId="0" borderId="1" xfId="23" applyFont="1" applyBorder="1" applyAlignment="1">
      <alignment vertical="center" wrapText="1"/>
    </xf>
    <xf numFmtId="0" fontId="28" fillId="2" borderId="1" xfId="23" applyFont="1" applyFill="1" applyBorder="1" applyAlignment="1">
      <alignment horizontal="center" vertical="center" wrapText="1"/>
    </xf>
    <xf numFmtId="0" fontId="26" fillId="0" borderId="1" xfId="23" applyFont="1" applyFill="1" applyBorder="1" applyAlignment="1">
      <alignment horizontal="center" vertical="center" wrapText="1"/>
    </xf>
    <xf numFmtId="0" fontId="28" fillId="0" borderId="7" xfId="23" applyFont="1" applyFill="1" applyBorder="1" applyAlignment="1">
      <alignment horizontal="center" vertical="center" wrapText="1"/>
    </xf>
    <xf numFmtId="165" fontId="28" fillId="0" borderId="7" xfId="26" applyFont="1" applyFill="1" applyBorder="1" applyAlignment="1">
      <alignment horizontal="center" vertical="center" wrapText="1"/>
    </xf>
    <xf numFmtId="0" fontId="28" fillId="0" borderId="1" xfId="23" applyFont="1" applyFill="1" applyBorder="1" applyAlignment="1">
      <alignment horizontal="center" vertical="center" wrapText="1"/>
    </xf>
    <xf numFmtId="165" fontId="28" fillId="0" borderId="1" xfId="26" applyFont="1" applyFill="1" applyBorder="1" applyAlignment="1">
      <alignment horizontal="center" vertical="center" wrapText="1"/>
    </xf>
    <xf numFmtId="0" fontId="28" fillId="2" borderId="6" xfId="23" applyFont="1" applyFill="1" applyBorder="1" applyAlignment="1">
      <alignment horizontal="center" vertical="center" wrapText="1"/>
    </xf>
    <xf numFmtId="0" fontId="28" fillId="0" borderId="6" xfId="23" applyFont="1" applyFill="1" applyBorder="1" applyAlignment="1">
      <alignment horizontal="center" vertical="center" wrapText="1"/>
    </xf>
    <xf numFmtId="165" fontId="28" fillId="0" borderId="6" xfId="26" applyFont="1" applyFill="1" applyBorder="1" applyAlignment="1">
      <alignment horizontal="center" vertical="center" wrapText="1"/>
    </xf>
    <xf numFmtId="4" fontId="28" fillId="0" borderId="11" xfId="23" applyNumberFormat="1" applyFont="1" applyBorder="1" applyAlignment="1">
      <alignment horizontal="center" vertical="center" wrapText="1"/>
    </xf>
    <xf numFmtId="9" fontId="28" fillId="0" borderId="6" xfId="23" applyNumberFormat="1" applyFont="1" applyBorder="1" applyAlignment="1">
      <alignment horizontal="center" vertical="center" wrapText="1"/>
    </xf>
    <xf numFmtId="10" fontId="28" fillId="0" borderId="6" xfId="23" applyNumberFormat="1" applyFont="1" applyBorder="1" applyAlignment="1">
      <alignment horizontal="center" vertical="center" wrapText="1"/>
    </xf>
    <xf numFmtId="4" fontId="28" fillId="0" borderId="6" xfId="23" applyNumberFormat="1" applyFont="1" applyBorder="1" applyAlignment="1">
      <alignment horizontal="center" vertical="center" wrapText="1"/>
    </xf>
    <xf numFmtId="0" fontId="22" fillId="0" borderId="1" xfId="23" applyFont="1" applyFill="1" applyBorder="1" applyAlignment="1">
      <alignment horizontal="center" vertical="center" wrapText="1"/>
    </xf>
    <xf numFmtId="0" fontId="30" fillId="2" borderId="1" xfId="23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7" fillId="0" borderId="6" xfId="2" applyNumberFormat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5" fontId="10" fillId="0" borderId="1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26" fillId="0" borderId="1" xfId="0" applyFont="1" applyFill="1" applyBorder="1" applyAlignment="1"/>
    <xf numFmtId="0" fontId="26" fillId="0" borderId="2" xfId="0" applyFont="1" applyFill="1" applyBorder="1" applyAlignment="1"/>
    <xf numFmtId="0" fontId="26" fillId="0" borderId="1" xfId="0" applyFont="1" applyBorder="1" applyAlignment="1"/>
    <xf numFmtId="0" fontId="26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4" fontId="19" fillId="0" borderId="1" xfId="8" applyNumberFormat="1" applyFont="1" applyFill="1" applyBorder="1" applyAlignment="1">
      <alignment horizontal="center" vertical="center" wrapText="1"/>
    </xf>
    <xf numFmtId="0" fontId="28" fillId="2" borderId="1" xfId="23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8" fillId="0" borderId="0" xfId="25" applyFont="1" applyAlignment="1"/>
    <xf numFmtId="0" fontId="31" fillId="0" borderId="0" xfId="25" applyFont="1"/>
    <xf numFmtId="0" fontId="31" fillId="0" borderId="0" xfId="25" applyFont="1" applyAlignment="1">
      <alignment horizontal="center"/>
    </xf>
    <xf numFmtId="0" fontId="32" fillId="0" borderId="0" xfId="25" applyFont="1"/>
    <xf numFmtId="0" fontId="17" fillId="0" borderId="0" xfId="25" applyFont="1" applyAlignment="1">
      <alignment horizontal="center" vertical="center" wrapText="1"/>
    </xf>
    <xf numFmtId="0" fontId="17" fillId="0" borderId="1" xfId="25" applyFont="1" applyBorder="1" applyAlignment="1">
      <alignment horizontal="center" vertical="center" textRotation="90" wrapText="1"/>
    </xf>
    <xf numFmtId="0" fontId="31" fillId="0" borderId="1" xfId="25" applyFont="1" applyFill="1" applyBorder="1" applyAlignment="1">
      <alignment horizontal="center"/>
    </xf>
    <xf numFmtId="0" fontId="31" fillId="0" borderId="1" xfId="25" applyFont="1" applyBorder="1" applyAlignment="1">
      <alignment horizontal="center"/>
    </xf>
    <xf numFmtId="0" fontId="31" fillId="0" borderId="0" xfId="25" applyNumberFormat="1" applyFont="1"/>
    <xf numFmtId="0" fontId="31" fillId="4" borderId="10" xfId="25" applyFont="1" applyFill="1" applyBorder="1" applyAlignment="1"/>
    <xf numFmtId="0" fontId="31" fillId="4" borderId="12" xfId="25" applyFont="1" applyFill="1" applyBorder="1" applyAlignment="1"/>
    <xf numFmtId="0" fontId="31" fillId="4" borderId="0" xfId="25" applyFont="1" applyFill="1" applyBorder="1" applyAlignment="1"/>
    <xf numFmtId="0" fontId="31" fillId="4" borderId="13" xfId="25" applyFont="1" applyFill="1" applyBorder="1" applyAlignment="1"/>
    <xf numFmtId="0" fontId="17" fillId="0" borderId="5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28" fillId="0" borderId="0" xfId="43" applyFont="1" applyAlignment="1">
      <alignment vertical="center" wrapText="1"/>
    </xf>
    <xf numFmtId="0" fontId="29" fillId="0" borderId="1" xfId="43" applyFont="1" applyFill="1" applyBorder="1" applyAlignment="1">
      <alignment horizontal="center" vertical="center" wrapText="1"/>
    </xf>
    <xf numFmtId="0" fontId="28" fillId="0" borderId="0" xfId="43" applyFont="1" applyAlignment="1">
      <alignment horizontal="left" vertical="center" wrapText="1"/>
    </xf>
    <xf numFmtId="0" fontId="28" fillId="0" borderId="1" xfId="43" applyFont="1" applyBorder="1" applyAlignment="1">
      <alignment horizontal="center" vertical="center" wrapText="1"/>
    </xf>
    <xf numFmtId="0" fontId="31" fillId="0" borderId="1" xfId="43" applyFont="1" applyBorder="1" applyAlignment="1">
      <alignment horizontal="center" vertical="center" wrapText="1"/>
    </xf>
    <xf numFmtId="0" fontId="28" fillId="0" borderId="4" xfId="43" applyFont="1" applyBorder="1" applyAlignment="1">
      <alignment horizontal="center" vertical="center" wrapText="1"/>
    </xf>
    <xf numFmtId="0" fontId="28" fillId="0" borderId="4" xfId="43" applyFont="1" applyBorder="1" applyAlignment="1">
      <alignment horizontal="left" vertical="center" wrapText="1"/>
    </xf>
    <xf numFmtId="0" fontId="28" fillId="0" borderId="1" xfId="43" applyFont="1" applyBorder="1" applyAlignment="1">
      <alignment vertical="center" wrapText="1"/>
    </xf>
    <xf numFmtId="0" fontId="30" fillId="0" borderId="1" xfId="43" applyFont="1" applyBorder="1" applyAlignment="1">
      <alignment horizontal="center" vertical="center" wrapText="1"/>
    </xf>
    <xf numFmtId="0" fontId="30" fillId="0" borderId="1" xfId="43" applyFont="1" applyBorder="1" applyAlignment="1">
      <alignment vertical="center" wrapText="1"/>
    </xf>
    <xf numFmtId="0" fontId="20" fillId="0" borderId="5" xfId="43" applyFont="1" applyBorder="1" applyAlignment="1">
      <alignment horizontal="center" vertical="center" wrapText="1"/>
    </xf>
    <xf numFmtId="0" fontId="20" fillId="0" borderId="0" xfId="43" applyFont="1" applyBorder="1" applyAlignment="1">
      <alignment horizontal="center" vertical="center" wrapText="1"/>
    </xf>
    <xf numFmtId="0" fontId="28" fillId="0" borderId="0" xfId="43" applyFont="1" applyBorder="1" applyAlignment="1">
      <alignment horizontal="center" vertical="center" wrapText="1"/>
    </xf>
    <xf numFmtId="0" fontId="23" fillId="0" borderId="0" xfId="43" applyFont="1" applyAlignment="1">
      <alignment horizontal="center" vertical="center" wrapText="1"/>
    </xf>
    <xf numFmtId="0" fontId="23" fillId="0" borderId="0" xfId="43" applyFont="1" applyBorder="1" applyAlignment="1">
      <alignment horizontal="center" vertical="center" wrapText="1"/>
    </xf>
    <xf numFmtId="0" fontId="40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65" fontId="17" fillId="0" borderId="1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6" fillId="0" borderId="0" xfId="5" applyFont="1" applyAlignment="1"/>
    <xf numFmtId="0" fontId="39" fillId="0" borderId="0" xfId="5" applyFont="1"/>
    <xf numFmtId="0" fontId="39" fillId="0" borderId="0" xfId="5" applyFont="1" applyAlignment="1"/>
    <xf numFmtId="0" fontId="39" fillId="0" borderId="0" xfId="5" applyFont="1" applyAlignment="1">
      <alignment horizontal="left"/>
    </xf>
    <xf numFmtId="0" fontId="39" fillId="0" borderId="0" xfId="5" applyFont="1" applyAlignment="1">
      <alignment horizontal="right" vertical="center"/>
    </xf>
    <xf numFmtId="0" fontId="31" fillId="0" borderId="0" xfId="5" applyFont="1" applyAlignment="1">
      <alignment horizontal="right" vertical="center"/>
    </xf>
    <xf numFmtId="0" fontId="39" fillId="0" borderId="0" xfId="5" applyFont="1" applyAlignment="1">
      <alignment horizontal="center" vertical="center"/>
    </xf>
    <xf numFmtId="0" fontId="42" fillId="0" borderId="0" xfId="5" applyNumberFormat="1" applyFont="1" applyBorder="1" applyAlignment="1"/>
    <xf numFmtId="0" fontId="26" fillId="0" borderId="0" xfId="5" applyFont="1" applyBorder="1" applyAlignment="1"/>
    <xf numFmtId="0" fontId="39" fillId="0" borderId="0" xfId="5" applyFont="1" applyBorder="1" applyAlignment="1"/>
    <xf numFmtId="0" fontId="39" fillId="0" borderId="0" xfId="5" applyFont="1" applyBorder="1"/>
    <xf numFmtId="0" fontId="26" fillId="0" borderId="0" xfId="5" applyNumberFormat="1" applyFont="1" applyBorder="1" applyAlignment="1"/>
    <xf numFmtId="0" fontId="39" fillId="0" borderId="0" xfId="5" applyNumberFormat="1" applyFont="1" applyBorder="1" applyAlignment="1">
      <alignment horizontal="left"/>
    </xf>
    <xf numFmtId="0" fontId="26" fillId="0" borderId="0" xfId="5" applyFont="1"/>
    <xf numFmtId="0" fontId="43" fillId="0" borderId="0" xfId="5" applyFont="1"/>
    <xf numFmtId="0" fontId="26" fillId="0" borderId="0" xfId="5" applyFont="1" applyAlignment="1">
      <alignment horizontal="right"/>
    </xf>
    <xf numFmtId="0" fontId="16" fillId="0" borderId="0" xfId="5" applyFont="1"/>
    <xf numFmtId="0" fontId="16" fillId="0" borderId="0" xfId="5" applyFont="1" applyAlignment="1">
      <alignment horizontal="right"/>
    </xf>
    <xf numFmtId="0" fontId="26" fillId="0" borderId="0" xfId="5" applyFont="1" applyAlignment="1">
      <alignment vertical="top"/>
    </xf>
    <xf numFmtId="0" fontId="17" fillId="0" borderId="0" xfId="5" applyFont="1" applyFill="1" applyAlignment="1">
      <alignment wrapText="1"/>
    </xf>
    <xf numFmtId="0" fontId="26" fillId="0" borderId="0" xfId="5" applyFont="1" applyAlignment="1">
      <alignment horizontal="right" wrapText="1"/>
    </xf>
    <xf numFmtId="0" fontId="26" fillId="0" borderId="0" xfId="5" applyFont="1" applyFill="1" applyBorder="1" applyAlignment="1">
      <alignment horizontal="left" wrapText="1"/>
    </xf>
    <xf numFmtId="0" fontId="17" fillId="0" borderId="0" xfId="5" applyFont="1" applyAlignment="1">
      <alignment vertical="center"/>
    </xf>
    <xf numFmtId="0" fontId="26" fillId="0" borderId="0" xfId="5" applyFont="1" applyAlignment="1">
      <alignment vertical="center"/>
    </xf>
    <xf numFmtId="49" fontId="26" fillId="0" borderId="0" xfId="5" applyNumberFormat="1" applyFont="1" applyFill="1" applyAlignment="1">
      <alignment horizontal="center" vertical="center"/>
    </xf>
    <xf numFmtId="49" fontId="26" fillId="0" borderId="0" xfId="5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26" fillId="0" borderId="0" xfId="5" applyFont="1" applyAlignment="1">
      <alignment horizontal="right" vertical="center"/>
    </xf>
    <xf numFmtId="0" fontId="26" fillId="0" borderId="0" xfId="5" applyFont="1" applyAlignment="1">
      <alignment horizontal="left" vertical="center"/>
    </xf>
    <xf numFmtId="49" fontId="26" fillId="0" borderId="0" xfId="5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wrapText="1"/>
    </xf>
    <xf numFmtId="0" fontId="26" fillId="0" borderId="0" xfId="5" applyFont="1" applyAlignment="1">
      <alignment wrapText="1"/>
    </xf>
    <xf numFmtId="0" fontId="26" fillId="0" borderId="0" xfId="5" applyFont="1" applyBorder="1" applyAlignment="1">
      <alignment wrapText="1"/>
    </xf>
    <xf numFmtId="0" fontId="26" fillId="0" borderId="0" xfId="5" applyFont="1" applyBorder="1" applyAlignment="1">
      <alignment horizontal="left" wrapText="1"/>
    </xf>
    <xf numFmtId="49" fontId="26" fillId="0" borderId="0" xfId="5" applyNumberFormat="1" applyFont="1" applyFill="1" applyBorder="1" applyAlignment="1">
      <alignment horizontal="center" vertical="top"/>
    </xf>
    <xf numFmtId="0" fontId="22" fillId="0" borderId="0" xfId="5" applyFont="1" applyFill="1" applyAlignment="1">
      <alignment wrapText="1"/>
    </xf>
    <xf numFmtId="0" fontId="26" fillId="0" borderId="0" xfId="5" applyFont="1" applyFill="1" applyAlignment="1">
      <alignment horizontal="left" wrapText="1"/>
    </xf>
    <xf numFmtId="0" fontId="17" fillId="0" borderId="0" xfId="5" applyFont="1" applyAlignment="1">
      <alignment wrapText="1"/>
    </xf>
    <xf numFmtId="0" fontId="16" fillId="0" borderId="0" xfId="5" applyFont="1" applyFill="1" applyAlignment="1">
      <alignment wrapText="1" shrinkToFit="1"/>
    </xf>
    <xf numFmtId="4" fontId="16" fillId="0" borderId="0" xfId="5" applyNumberFormat="1" applyFont="1" applyFill="1" applyAlignment="1">
      <alignment horizontal="center" vertical="center" shrinkToFit="1"/>
    </xf>
    <xf numFmtId="0" fontId="16" fillId="0" borderId="0" xfId="5" applyFont="1" applyFill="1" applyAlignment="1">
      <alignment horizontal="center" vertical="center" shrinkToFit="1"/>
    </xf>
    <xf numFmtId="0" fontId="16" fillId="0" borderId="0" xfId="5" applyFont="1" applyFill="1" applyAlignment="1">
      <alignment shrinkToFit="1"/>
    </xf>
    <xf numFmtId="0" fontId="17" fillId="0" borderId="0" xfId="5" applyFont="1"/>
    <xf numFmtId="0" fontId="26" fillId="0" borderId="1" xfId="5" applyFont="1" applyBorder="1" applyAlignment="1">
      <alignment horizontal="center" vertical="center" wrapText="1"/>
    </xf>
    <xf numFmtId="0" fontId="47" fillId="0" borderId="1" xfId="44" applyFont="1" applyBorder="1" applyAlignment="1">
      <alignment vertical="center" wrapText="1"/>
    </xf>
    <xf numFmtId="0" fontId="26" fillId="0" borderId="1" xfId="5" applyFont="1" applyBorder="1" applyAlignment="1">
      <alignment vertical="center" wrapText="1"/>
    </xf>
    <xf numFmtId="0" fontId="26" fillId="0" borderId="1" xfId="5" applyFont="1" applyBorder="1" applyAlignment="1">
      <alignment horizontal="left" vertical="center" wrapText="1" indent="1"/>
    </xf>
    <xf numFmtId="0" fontId="26" fillId="0" borderId="1" xfId="5" applyFont="1" applyBorder="1" applyAlignment="1">
      <alignment horizontal="left" vertical="center" wrapText="1" indent="3"/>
    </xf>
    <xf numFmtId="0" fontId="47" fillId="0" borderId="1" xfId="44" applyFont="1" applyBorder="1" applyAlignment="1">
      <alignment horizontal="left" vertical="center" wrapText="1" indent="1"/>
    </xf>
    <xf numFmtId="0" fontId="26" fillId="0" borderId="1" xfId="5" applyFont="1" applyBorder="1" applyAlignment="1">
      <alignment horizontal="left" vertical="center" wrapText="1" indent="4"/>
    </xf>
    <xf numFmtId="0" fontId="47" fillId="0" borderId="1" xfId="44" applyFont="1" applyBorder="1" applyAlignment="1">
      <alignment horizontal="left" vertical="center" wrapText="1" indent="3"/>
    </xf>
    <xf numFmtId="0" fontId="26" fillId="0" borderId="5" xfId="5" applyFont="1" applyBorder="1" applyAlignment="1">
      <alignment horizontal="justify" vertical="center"/>
    </xf>
    <xf numFmtId="0" fontId="17" fillId="0" borderId="5" xfId="5" applyFont="1" applyBorder="1"/>
    <xf numFmtId="0" fontId="17" fillId="0" borderId="0" xfId="5" applyFont="1" applyBorder="1"/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horizontal="center"/>
    </xf>
    <xf numFmtId="0" fontId="26" fillId="0" borderId="0" xfId="5" applyFont="1" applyAlignment="1">
      <alignment horizontal="justify" vertical="center"/>
    </xf>
    <xf numFmtId="0" fontId="47" fillId="0" borderId="1" xfId="44" applyFont="1" applyBorder="1" applyAlignment="1">
      <alignment horizontal="left" vertical="center" wrapText="1" indent="4"/>
    </xf>
    <xf numFmtId="0" fontId="31" fillId="0" borderId="0" xfId="5" applyFont="1" applyAlignment="1">
      <alignment horizontal="justify" vertical="center"/>
    </xf>
    <xf numFmtId="0" fontId="26" fillId="0" borderId="5" xfId="5" applyFont="1" applyBorder="1"/>
    <xf numFmtId="0" fontId="16" fillId="0" borderId="0" xfId="5" applyFont="1" applyAlignment="1">
      <alignment horizontal="justify" vertical="center"/>
    </xf>
    <xf numFmtId="0" fontId="17" fillId="0" borderId="16" xfId="5" applyNumberFormat="1" applyFont="1" applyBorder="1" applyAlignment="1">
      <alignment horizontal="left"/>
    </xf>
    <xf numFmtId="0" fontId="17" fillId="0" borderId="17" xfId="5" applyNumberFormat="1" applyFont="1" applyBorder="1" applyAlignment="1">
      <alignment horizontal="left"/>
    </xf>
    <xf numFmtId="0" fontId="17" fillId="0" borderId="18" xfId="5" applyNumberFormat="1" applyFont="1" applyBorder="1" applyAlignment="1">
      <alignment horizontal="left"/>
    </xf>
    <xf numFmtId="0" fontId="17" fillId="0" borderId="0" xfId="5" applyNumberFormat="1" applyFont="1" applyBorder="1" applyAlignment="1">
      <alignment horizontal="left"/>
    </xf>
    <xf numFmtId="0" fontId="31" fillId="0" borderId="19" xfId="5" applyNumberFormat="1" applyFont="1" applyBorder="1" applyAlignment="1">
      <alignment horizontal="left"/>
    </xf>
    <xf numFmtId="0" fontId="17" fillId="0" borderId="20" xfId="5" applyNumberFormat="1" applyFont="1" applyBorder="1" applyAlignment="1">
      <alignment horizontal="left"/>
    </xf>
    <xf numFmtId="0" fontId="17" fillId="0" borderId="21" xfId="5" applyNumberFormat="1" applyFont="1" applyBorder="1" applyAlignment="1"/>
    <xf numFmtId="0" fontId="17" fillId="0" borderId="5" xfId="5" applyNumberFormat="1" applyFont="1" applyBorder="1" applyAlignment="1"/>
    <xf numFmtId="0" fontId="17" fillId="0" borderId="22" xfId="5" applyNumberFormat="1" applyFont="1" applyBorder="1" applyAlignment="1"/>
    <xf numFmtId="0" fontId="17" fillId="0" borderId="19" xfId="5" applyNumberFormat="1" applyFont="1" applyBorder="1" applyAlignment="1">
      <alignment horizontal="center" vertical="top"/>
    </xf>
    <xf numFmtId="0" fontId="17" fillId="0" borderId="0" xfId="5" applyNumberFormat="1" applyFont="1" applyBorder="1" applyAlignment="1">
      <alignment horizontal="center" vertical="top"/>
    </xf>
    <xf numFmtId="0" fontId="17" fillId="0" borderId="20" xfId="5" applyNumberFormat="1" applyFont="1" applyBorder="1" applyAlignment="1">
      <alignment horizontal="center" vertical="top"/>
    </xf>
    <xf numFmtId="0" fontId="17" fillId="0" borderId="23" xfId="5" applyNumberFormat="1" applyFont="1" applyBorder="1" applyAlignment="1">
      <alignment horizontal="center" vertical="top"/>
    </xf>
    <xf numFmtId="0" fontId="17" fillId="0" borderId="19" xfId="5" applyNumberFormat="1" applyFont="1" applyBorder="1" applyAlignment="1">
      <alignment horizontal="left"/>
    </xf>
    <xf numFmtId="0" fontId="17" fillId="0" borderId="19" xfId="5" applyNumberFormat="1" applyFont="1" applyBorder="1" applyAlignment="1"/>
    <xf numFmtId="49" fontId="17" fillId="0" borderId="0" xfId="5" applyNumberFormat="1" applyFont="1" applyBorder="1" applyAlignment="1"/>
    <xf numFmtId="0" fontId="17" fillId="0" borderId="25" xfId="5" applyNumberFormat="1" applyFont="1" applyBorder="1" applyAlignment="1">
      <alignment horizontal="left"/>
    </xf>
    <xf numFmtId="0" fontId="17" fillId="0" borderId="26" xfId="5" applyNumberFormat="1" applyFont="1" applyBorder="1" applyAlignment="1">
      <alignment horizontal="left"/>
    </xf>
    <xf numFmtId="0" fontId="17" fillId="0" borderId="27" xfId="5" applyNumberFormat="1" applyFont="1" applyBorder="1" applyAlignment="1">
      <alignment horizontal="left"/>
    </xf>
    <xf numFmtId="0" fontId="17" fillId="0" borderId="1" xfId="5" applyFont="1" applyBorder="1" applyAlignment="1">
      <alignment horizontal="right" vertical="center"/>
    </xf>
    <xf numFmtId="0" fontId="19" fillId="0" borderId="1" xfId="5" applyFont="1" applyBorder="1" applyAlignment="1">
      <alignment vertical="center" wrapText="1"/>
    </xf>
    <xf numFmtId="0" fontId="19" fillId="0" borderId="1" xfId="5" applyFont="1" applyBorder="1" applyAlignment="1">
      <alignment horizontal="right" vertical="center" wrapText="1"/>
    </xf>
    <xf numFmtId="0" fontId="19" fillId="0" borderId="1" xfId="5" applyFont="1" applyBorder="1" applyAlignment="1">
      <alignment horizontal="left" vertical="center" wrapText="1"/>
    </xf>
    <xf numFmtId="0" fontId="17" fillId="0" borderId="0" xfId="5" applyFont="1" applyAlignment="1">
      <alignment horizontal="right" vertical="center"/>
    </xf>
    <xf numFmtId="0" fontId="19" fillId="5" borderId="7" xfId="5" applyFont="1" applyFill="1" applyBorder="1" applyAlignment="1">
      <alignment horizontal="center" vertical="center" wrapText="1"/>
    </xf>
    <xf numFmtId="0" fontId="19" fillId="5" borderId="7" xfId="5" applyFont="1" applyFill="1" applyBorder="1" applyAlignment="1">
      <alignment vertical="center" wrapText="1"/>
    </xf>
    <xf numFmtId="0" fontId="17" fillId="5" borderId="1" xfId="5" applyFont="1" applyFill="1" applyBorder="1" applyAlignment="1">
      <alignment horizontal="right" vertical="center"/>
    </xf>
    <xf numFmtId="0" fontId="19" fillId="5" borderId="1" xfId="5" applyFont="1" applyFill="1" applyBorder="1" applyAlignment="1">
      <alignment horizontal="center" vertical="center" wrapText="1"/>
    </xf>
    <xf numFmtId="0" fontId="19" fillId="5" borderId="1" xfId="5" applyFont="1" applyFill="1" applyBorder="1" applyAlignment="1">
      <alignment vertical="center" wrapText="1"/>
    </xf>
    <xf numFmtId="168" fontId="17" fillId="5" borderId="1" xfId="5" applyNumberFormat="1" applyFont="1" applyFill="1" applyBorder="1" applyAlignment="1">
      <alignment horizontal="right" vertical="center"/>
    </xf>
    <xf numFmtId="168" fontId="17" fillId="0" borderId="1" xfId="5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22" fillId="0" borderId="1" xfId="8" applyFont="1" applyFill="1" applyBorder="1" applyAlignment="1">
      <alignment horizontal="center" vertical="center"/>
    </xf>
    <xf numFmtId="0" fontId="22" fillId="0" borderId="0" xfId="8" applyFont="1" applyFill="1" applyAlignment="1">
      <alignment horizontal="center" vertical="center"/>
    </xf>
    <xf numFmtId="166" fontId="10" fillId="0" borderId="1" xfId="21" applyFont="1" applyFill="1" applyBorder="1" applyAlignment="1">
      <alignment horizontal="right" vertical="center"/>
    </xf>
    <xf numFmtId="4" fontId="10" fillId="0" borderId="1" xfId="8" applyNumberFormat="1" applyFont="1" applyFill="1" applyBorder="1" applyAlignment="1">
      <alignment horizontal="right" vertical="center"/>
    </xf>
    <xf numFmtId="0" fontId="17" fillId="0" borderId="1" xfId="8" applyFont="1" applyFill="1" applyBorder="1" applyAlignment="1">
      <alignment horizontal="right" vertical="center"/>
    </xf>
    <xf numFmtId="4" fontId="17" fillId="0" borderId="1" xfId="8" applyNumberFormat="1" applyFont="1" applyFill="1" applyBorder="1" applyAlignment="1">
      <alignment horizontal="right" vertical="center"/>
    </xf>
    <xf numFmtId="166" fontId="22" fillId="0" borderId="1" xfId="8" applyNumberFormat="1" applyFont="1" applyFill="1" applyBorder="1" applyAlignment="1">
      <alignment horizontal="right" vertical="center"/>
    </xf>
    <xf numFmtId="0" fontId="17" fillId="0" borderId="0" xfId="46" applyFont="1" applyFill="1" applyAlignment="1">
      <alignment horizontal="center"/>
    </xf>
    <xf numFmtId="0" fontId="17" fillId="0" borderId="0" xfId="46" applyFont="1" applyFill="1"/>
    <xf numFmtId="0" fontId="31" fillId="0" borderId="0" xfId="46" applyFont="1" applyFill="1" applyAlignment="1">
      <alignment horizontal="left"/>
    </xf>
    <xf numFmtId="0" fontId="17" fillId="0" borderId="0" xfId="46" applyFont="1" applyFill="1" applyBorder="1" applyAlignment="1">
      <alignment horizontal="center"/>
    </xf>
    <xf numFmtId="0" fontId="17" fillId="0" borderId="0" xfId="46" applyFont="1" applyFill="1" applyBorder="1"/>
    <xf numFmtId="0" fontId="17" fillId="0" borderId="9" xfId="46" applyFont="1" applyFill="1" applyBorder="1"/>
    <xf numFmtId="0" fontId="34" fillId="0" borderId="1" xfId="46" applyFont="1" applyFill="1" applyBorder="1" applyAlignment="1">
      <alignment horizontal="center" vertical="center" wrapText="1"/>
    </xf>
    <xf numFmtId="0" fontId="17" fillId="0" borderId="1" xfId="46" applyFont="1" applyFill="1" applyBorder="1" applyAlignment="1">
      <alignment horizontal="center"/>
    </xf>
    <xf numFmtId="4" fontId="17" fillId="0" borderId="1" xfId="46" applyNumberFormat="1" applyFont="1" applyFill="1" applyBorder="1" applyAlignment="1">
      <alignment horizontal="center"/>
    </xf>
    <xf numFmtId="4" fontId="17" fillId="0" borderId="1" xfId="12" applyNumberFormat="1" applyFont="1" applyFill="1" applyBorder="1" applyAlignment="1">
      <alignment horizontal="center"/>
    </xf>
    <xf numFmtId="4" fontId="17" fillId="0" borderId="1" xfId="46" applyNumberFormat="1" applyFont="1" applyFill="1" applyBorder="1" applyAlignment="1">
      <alignment horizontal="center" vertical="center"/>
    </xf>
    <xf numFmtId="4" fontId="17" fillId="0" borderId="1" xfId="46" applyNumberFormat="1" applyFont="1" applyFill="1" applyBorder="1" applyAlignment="1"/>
    <xf numFmtId="0" fontId="17" fillId="0" borderId="0" xfId="7" applyFont="1"/>
    <xf numFmtId="0" fontId="17" fillId="0" borderId="1" xfId="7" applyFont="1" applyBorder="1" applyAlignment="1">
      <alignment horizontal="center" vertical="center" wrapText="1"/>
    </xf>
    <xf numFmtId="0" fontId="17" fillId="0" borderId="1" xfId="7" applyFont="1" applyBorder="1"/>
    <xf numFmtId="4" fontId="17" fillId="0" borderId="1" xfId="7" applyNumberFormat="1" applyFont="1" applyFill="1" applyBorder="1" applyAlignment="1"/>
    <xf numFmtId="4" fontId="17" fillId="0" borderId="6" xfId="46" applyNumberFormat="1" applyFont="1" applyFill="1" applyBorder="1" applyAlignment="1"/>
    <xf numFmtId="1" fontId="17" fillId="0" borderId="1" xfId="7" applyNumberFormat="1" applyFont="1" applyFill="1" applyBorder="1" applyAlignment="1">
      <alignment horizontal="center"/>
    </xf>
    <xf numFmtId="0" fontId="17" fillId="0" borderId="0" xfId="7" applyFont="1" applyFill="1"/>
    <xf numFmtId="4" fontId="17" fillId="0" borderId="0" xfId="7" applyNumberFormat="1" applyFont="1"/>
    <xf numFmtId="0" fontId="17" fillId="0" borderId="1" xfId="7" applyFont="1" applyBorder="1" applyAlignment="1">
      <alignment horizontal="center" vertical="center"/>
    </xf>
    <xf numFmtId="0" fontId="35" fillId="0" borderId="1" xfId="46" applyFont="1" applyFill="1" applyBorder="1" applyAlignment="1">
      <alignment horizontal="center"/>
    </xf>
    <xf numFmtId="0" fontId="35" fillId="0" borderId="1" xfId="46" applyFont="1" applyFill="1" applyBorder="1"/>
    <xf numFmtId="4" fontId="35" fillId="0" borderId="1" xfId="46" applyNumberFormat="1" applyFont="1" applyFill="1" applyBorder="1" applyAlignment="1">
      <alignment horizontal="center"/>
    </xf>
    <xf numFmtId="4" fontId="35" fillId="0" borderId="1" xfId="46" applyNumberFormat="1" applyFont="1" applyFill="1" applyBorder="1" applyAlignment="1">
      <alignment horizontal="center" vertical="center"/>
    </xf>
    <xf numFmtId="4" fontId="35" fillId="0" borderId="1" xfId="46" applyNumberFormat="1" applyFont="1" applyFill="1" applyBorder="1" applyAlignment="1"/>
    <xf numFmtId="0" fontId="35" fillId="0" borderId="0" xfId="46" applyFont="1" applyFill="1"/>
    <xf numFmtId="168" fontId="26" fillId="0" borderId="1" xfId="5" applyNumberFormat="1" applyFont="1" applyBorder="1" applyAlignment="1">
      <alignment horizontal="right" vertical="center" wrapText="1"/>
    </xf>
    <xf numFmtId="168" fontId="26" fillId="0" borderId="1" xfId="5" applyNumberFormat="1" applyFont="1" applyBorder="1" applyAlignment="1">
      <alignment horizontal="right" vertical="center" wrapText="1"/>
    </xf>
    <xf numFmtId="168" fontId="26" fillId="0" borderId="1" xfId="5" applyNumberFormat="1" applyFont="1" applyBorder="1" applyAlignment="1">
      <alignment horizontal="center" vertical="center" wrapText="1"/>
    </xf>
    <xf numFmtId="0" fontId="26" fillId="5" borderId="1" xfId="5" applyFont="1" applyFill="1" applyBorder="1" applyAlignment="1">
      <alignment vertical="center" wrapText="1"/>
    </xf>
    <xf numFmtId="0" fontId="26" fillId="5" borderId="1" xfId="5" applyFont="1" applyFill="1" applyBorder="1" applyAlignment="1">
      <alignment horizontal="center" vertical="center" wrapText="1"/>
    </xf>
    <xf numFmtId="168" fontId="26" fillId="5" borderId="1" xfId="5" applyNumberFormat="1" applyFont="1" applyFill="1" applyBorder="1" applyAlignment="1">
      <alignment horizontal="right" vertical="center" wrapText="1"/>
    </xf>
    <xf numFmtId="0" fontId="36" fillId="0" borderId="0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 wrapText="1"/>
    </xf>
    <xf numFmtId="168" fontId="26" fillId="0" borderId="1" xfId="5" applyNumberFormat="1" applyFont="1" applyBorder="1" applyAlignment="1">
      <alignment horizontal="right" vertical="center" wrapText="1"/>
    </xf>
    <xf numFmtId="0" fontId="19" fillId="0" borderId="1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/>
    </xf>
    <xf numFmtId="0" fontId="17" fillId="8" borderId="0" xfId="5" applyFont="1" applyFill="1" applyAlignment="1">
      <alignment vertical="center"/>
    </xf>
    <xf numFmtId="0" fontId="19" fillId="0" borderId="0" xfId="5" applyFont="1" applyBorder="1" applyAlignment="1">
      <alignment horizontal="center" vertical="center" wrapText="1"/>
    </xf>
    <xf numFmtId="0" fontId="19" fillId="8" borderId="1" xfId="5" applyFont="1" applyFill="1" applyBorder="1" applyAlignment="1">
      <alignment horizontal="center" vertical="center" wrapText="1"/>
    </xf>
    <xf numFmtId="0" fontId="17" fillId="5" borderId="0" xfId="5" applyFont="1" applyFill="1" applyAlignment="1">
      <alignment horizontal="right" vertical="center"/>
    </xf>
    <xf numFmtId="0" fontId="17" fillId="5" borderId="0" xfId="5" applyFont="1" applyFill="1" applyAlignment="1">
      <alignment vertical="center"/>
    </xf>
    <xf numFmtId="168" fontId="17" fillId="8" borderId="1" xfId="5" applyNumberFormat="1" applyFont="1" applyFill="1" applyBorder="1" applyAlignment="1">
      <alignment horizontal="right" vertical="center"/>
    </xf>
    <xf numFmtId="0" fontId="19" fillId="0" borderId="1" xfId="5" applyFont="1" applyFill="1" applyBorder="1" applyAlignment="1">
      <alignment vertical="center" wrapText="1"/>
    </xf>
    <xf numFmtId="0" fontId="19" fillId="0" borderId="1" xfId="5" applyFont="1" applyFill="1" applyBorder="1" applyAlignment="1">
      <alignment horizontal="right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right" vertical="center"/>
    </xf>
    <xf numFmtId="168" fontId="17" fillId="0" borderId="1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right" vertical="center"/>
    </xf>
    <xf numFmtId="0" fontId="17" fillId="0" borderId="0" xfId="5" applyFont="1" applyFill="1" applyAlignment="1">
      <alignment vertical="center"/>
    </xf>
    <xf numFmtId="168" fontId="22" fillId="5" borderId="1" xfId="5" applyNumberFormat="1" applyFont="1" applyFill="1" applyBorder="1" applyAlignment="1">
      <alignment horizontal="right" vertical="center"/>
    </xf>
    <xf numFmtId="168" fontId="17" fillId="0" borderId="0" xfId="5" applyNumberFormat="1" applyFont="1" applyAlignment="1">
      <alignment horizontal="right" vertical="center"/>
    </xf>
    <xf numFmtId="168" fontId="17" fillId="8" borderId="1" xfId="5" applyNumberFormat="1" applyFont="1" applyFill="1" applyBorder="1" applyAlignment="1">
      <alignment vertical="center"/>
    </xf>
    <xf numFmtId="0" fontId="20" fillId="9" borderId="1" xfId="5" applyFont="1" applyFill="1" applyBorder="1" applyAlignment="1">
      <alignment horizontal="center" vertical="center" wrapText="1"/>
    </xf>
    <xf numFmtId="0" fontId="20" fillId="9" borderId="1" xfId="5" applyFont="1" applyFill="1" applyBorder="1" applyAlignment="1">
      <alignment vertical="center" wrapText="1"/>
    </xf>
    <xf numFmtId="0" fontId="22" fillId="9" borderId="1" xfId="5" applyFont="1" applyFill="1" applyBorder="1" applyAlignment="1">
      <alignment horizontal="right" vertical="center"/>
    </xf>
    <xf numFmtId="168" fontId="22" fillId="9" borderId="1" xfId="5" applyNumberFormat="1" applyFont="1" applyFill="1" applyBorder="1" applyAlignment="1">
      <alignment horizontal="right" vertical="center"/>
    </xf>
    <xf numFmtId="168" fontId="22" fillId="8" borderId="1" xfId="5" applyNumberFormat="1" applyFont="1" applyFill="1" applyBorder="1" applyAlignment="1">
      <alignment horizontal="right" vertical="center"/>
    </xf>
    <xf numFmtId="168" fontId="22" fillId="9" borderId="0" xfId="5" applyNumberFormat="1" applyFont="1" applyFill="1" applyAlignment="1">
      <alignment horizontal="right" vertical="center"/>
    </xf>
    <xf numFmtId="0" fontId="22" fillId="9" borderId="0" xfId="5" applyFont="1" applyFill="1" applyAlignment="1">
      <alignment vertical="center"/>
    </xf>
    <xf numFmtId="0" fontId="19" fillId="9" borderId="1" xfId="5" applyFont="1" applyFill="1" applyBorder="1" applyAlignment="1">
      <alignment vertical="center" wrapText="1"/>
    </xf>
    <xf numFmtId="0" fontId="19" fillId="9" borderId="1" xfId="5" applyFont="1" applyFill="1" applyBorder="1" applyAlignment="1">
      <alignment horizontal="center" vertical="center" wrapText="1"/>
    </xf>
    <xf numFmtId="0" fontId="17" fillId="9" borderId="1" xfId="5" applyFont="1" applyFill="1" applyBorder="1" applyAlignment="1">
      <alignment horizontal="right" vertical="center"/>
    </xf>
    <xf numFmtId="168" fontId="17" fillId="9" borderId="1" xfId="5" applyNumberFormat="1" applyFont="1" applyFill="1" applyBorder="1" applyAlignment="1">
      <alignment horizontal="right" vertical="center"/>
    </xf>
    <xf numFmtId="0" fontId="17" fillId="9" borderId="0" xfId="5" applyFont="1" applyFill="1" applyAlignment="1">
      <alignment horizontal="right" vertical="center"/>
    </xf>
    <xf numFmtId="0" fontId="17" fillId="9" borderId="0" xfId="5" applyFont="1" applyFill="1" applyAlignment="1">
      <alignment vertical="center"/>
    </xf>
    <xf numFmtId="168" fontId="17" fillId="9" borderId="0" xfId="5" applyNumberFormat="1" applyFont="1" applyFill="1" applyAlignment="1">
      <alignment horizontal="right" vertical="center"/>
    </xf>
    <xf numFmtId="0" fontId="47" fillId="9" borderId="1" xfId="44" applyFont="1" applyFill="1" applyBorder="1" applyAlignment="1">
      <alignment vertical="center" wrapText="1"/>
    </xf>
    <xf numFmtId="0" fontId="19" fillId="6" borderId="1" xfId="5" applyFont="1" applyFill="1" applyBorder="1" applyAlignment="1">
      <alignment horizontal="center" vertical="center" wrapText="1"/>
    </xf>
    <xf numFmtId="0" fontId="19" fillId="6" borderId="1" xfId="5" applyFont="1" applyFill="1" applyBorder="1" applyAlignment="1">
      <alignment vertical="center" wrapText="1"/>
    </xf>
    <xf numFmtId="0" fontId="17" fillId="6" borderId="1" xfId="5" applyFont="1" applyFill="1" applyBorder="1" applyAlignment="1">
      <alignment horizontal="right" vertical="center"/>
    </xf>
    <xf numFmtId="168" fontId="17" fillId="6" borderId="1" xfId="5" applyNumberFormat="1" applyFont="1" applyFill="1" applyBorder="1" applyAlignment="1">
      <alignment horizontal="right" vertical="center"/>
    </xf>
    <xf numFmtId="0" fontId="17" fillId="6" borderId="0" xfId="5" applyFont="1" applyFill="1" applyAlignment="1">
      <alignment horizontal="right" vertical="center"/>
    </xf>
    <xf numFmtId="0" fontId="17" fillId="6" borderId="0" xfId="5" applyFont="1" applyFill="1" applyAlignment="1">
      <alignment vertical="center"/>
    </xf>
    <xf numFmtId="0" fontId="26" fillId="0" borderId="0" xfId="5" applyNumberFormat="1" applyFont="1" applyBorder="1" applyAlignment="1">
      <alignment horizontal="left"/>
    </xf>
    <xf numFmtId="0" fontId="16" fillId="0" borderId="0" xfId="5" applyNumberFormat="1" applyFont="1" applyBorder="1" applyAlignment="1">
      <alignment horizontal="left"/>
    </xf>
    <xf numFmtId="0" fontId="17" fillId="0" borderId="0" xfId="5" applyNumberFormat="1" applyFont="1" applyBorder="1" applyAlignment="1">
      <alignment horizontal="left" vertical="top"/>
    </xf>
    <xf numFmtId="0" fontId="17" fillId="0" borderId="0" xfId="5" applyNumberFormat="1" applyFont="1" applyBorder="1" applyAlignment="1">
      <alignment horizontal="left" vertical="center"/>
    </xf>
    <xf numFmtId="0" fontId="17" fillId="0" borderId="0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0" fontId="17" fillId="0" borderId="0" xfId="5" applyNumberFormat="1" applyFont="1" applyBorder="1" applyAlignment="1">
      <alignment horizontal="left" vertical="center" wrapText="1"/>
    </xf>
    <xf numFmtId="0" fontId="17" fillId="0" borderId="2" xfId="5" applyNumberFormat="1" applyFont="1" applyBorder="1" applyAlignment="1">
      <alignment horizontal="left" vertical="center" wrapText="1"/>
    </xf>
    <xf numFmtId="0" fontId="17" fillId="0" borderId="15" xfId="5" applyNumberFormat="1" applyFont="1" applyBorder="1" applyAlignment="1">
      <alignment horizontal="left" vertical="center" wrapText="1"/>
    </xf>
    <xf numFmtId="0" fontId="17" fillId="0" borderId="8" xfId="5" applyNumberFormat="1" applyFont="1" applyBorder="1" applyAlignment="1">
      <alignment horizontal="left" vertical="center" wrapText="1"/>
    </xf>
    <xf numFmtId="4" fontId="17" fillId="0" borderId="0" xfId="5" applyNumberFormat="1" applyFont="1" applyBorder="1" applyAlignment="1">
      <alignment horizontal="left" vertical="center"/>
    </xf>
    <xf numFmtId="4" fontId="26" fillId="0" borderId="0" xfId="5" applyNumberFormat="1" applyFont="1" applyBorder="1" applyAlignment="1">
      <alignment horizontal="left"/>
    </xf>
    <xf numFmtId="4" fontId="22" fillId="0" borderId="0" xfId="5" applyNumberFormat="1" applyFont="1" applyBorder="1" applyAlignment="1">
      <alignment horizontal="left"/>
    </xf>
    <xf numFmtId="4" fontId="17" fillId="0" borderId="0" xfId="5" applyNumberFormat="1" applyFont="1" applyBorder="1" applyAlignment="1">
      <alignment horizontal="left"/>
    </xf>
    <xf numFmtId="4" fontId="17" fillId="0" borderId="0" xfId="5" applyNumberFormat="1" applyFont="1" applyAlignment="1">
      <alignment horizontal="left"/>
    </xf>
    <xf numFmtId="4" fontId="17" fillId="0" borderId="0" xfId="5" applyNumberFormat="1" applyFont="1" applyBorder="1" applyAlignment="1">
      <alignment horizontal="left" vertical="center" wrapText="1"/>
    </xf>
    <xf numFmtId="49" fontId="17" fillId="0" borderId="0" xfId="5" applyNumberFormat="1" applyFont="1" applyBorder="1" applyAlignment="1">
      <alignment horizontal="center" vertical="center"/>
    </xf>
    <xf numFmtId="49" fontId="17" fillId="0" borderId="0" xfId="5" applyNumberFormat="1" applyFont="1" applyBorder="1" applyAlignment="1">
      <alignment horizontal="right" vertical="center"/>
    </xf>
    <xf numFmtId="0" fontId="17" fillId="0" borderId="0" xfId="5" applyNumberFormat="1" applyFont="1" applyBorder="1" applyAlignment="1">
      <alignment horizontal="center" vertical="center"/>
    </xf>
    <xf numFmtId="4" fontId="22" fillId="0" borderId="0" xfId="5" applyNumberFormat="1" applyFont="1" applyBorder="1" applyAlignment="1">
      <alignment horizontal="center" vertical="center"/>
    </xf>
    <xf numFmtId="49" fontId="17" fillId="0" borderId="10" xfId="5" applyNumberFormat="1" applyFont="1" applyBorder="1" applyAlignment="1">
      <alignment horizontal="center" vertical="center"/>
    </xf>
    <xf numFmtId="49" fontId="17" fillId="0" borderId="10" xfId="5" applyNumberFormat="1" applyFont="1" applyBorder="1" applyAlignment="1">
      <alignment horizontal="right" vertical="center"/>
    </xf>
    <xf numFmtId="0" fontId="17" fillId="0" borderId="10" xfId="5" applyNumberFormat="1" applyFont="1" applyBorder="1" applyAlignment="1">
      <alignment horizontal="center" vertical="center"/>
    </xf>
    <xf numFmtId="0" fontId="22" fillId="0" borderId="10" xfId="5" applyNumberFormat="1" applyFont="1" applyBorder="1" applyAlignment="1">
      <alignment horizontal="center" vertical="center"/>
    </xf>
    <xf numFmtId="49" fontId="17" fillId="0" borderId="0" xfId="5" applyNumberFormat="1" applyFont="1" applyBorder="1" applyAlignment="1">
      <alignment horizontal="left"/>
    </xf>
    <xf numFmtId="49" fontId="16" fillId="0" borderId="0" xfId="5" applyNumberFormat="1" applyFont="1" applyBorder="1" applyAlignment="1">
      <alignment horizontal="left"/>
    </xf>
    <xf numFmtId="4" fontId="26" fillId="4" borderId="0" xfId="5" applyNumberFormat="1" applyFont="1" applyFill="1" applyAlignment="1">
      <alignment horizontal="center" vertical="center" shrinkToFit="1"/>
    </xf>
    <xf numFmtId="4" fontId="26" fillId="0" borderId="0" xfId="5" applyNumberFormat="1" applyFont="1" applyFill="1" applyAlignment="1">
      <alignment horizontal="center" vertical="center" shrinkToFit="1"/>
    </xf>
    <xf numFmtId="168" fontId="17" fillId="0" borderId="0" xfId="5" applyNumberFormat="1" applyFont="1"/>
    <xf numFmtId="0" fontId="26" fillId="0" borderId="0" xfId="5" applyFont="1" applyAlignment="1">
      <alignment horizontal="left"/>
    </xf>
    <xf numFmtId="0" fontId="19" fillId="0" borderId="1" xfId="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1" xfId="1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46" applyFont="1" applyFill="1" applyBorder="1" applyAlignment="1">
      <alignment horizontal="center" vertical="center" wrapText="1"/>
    </xf>
    <xf numFmtId="0" fontId="11" fillId="0" borderId="0" xfId="51" applyFont="1" applyAlignment="1"/>
    <xf numFmtId="0" fontId="1" fillId="0" borderId="0" xfId="51"/>
    <xf numFmtId="0" fontId="10" fillId="0" borderId="0" xfId="51" applyFont="1"/>
    <xf numFmtId="0" fontId="10" fillId="0" borderId="1" xfId="51" applyFont="1" applyBorder="1"/>
    <xf numFmtId="0" fontId="10" fillId="0" borderId="1" xfId="51" applyFont="1" applyBorder="1" applyAlignment="1">
      <alignment wrapText="1"/>
    </xf>
    <xf numFmtId="4" fontId="10" fillId="0" borderId="1" xfId="51" applyNumberFormat="1" applyFont="1" applyBorder="1"/>
    <xf numFmtId="0" fontId="17" fillId="0" borderId="1" xfId="51" applyFont="1" applyFill="1" applyBorder="1" applyAlignment="1">
      <alignment horizontal="center" vertical="center" wrapText="1"/>
    </xf>
    <xf numFmtId="0" fontId="17" fillId="0" borderId="1" xfId="51" applyNumberFormat="1" applyFont="1" applyBorder="1" applyAlignment="1">
      <alignment horizontal="center" vertical="center" wrapText="1"/>
    </xf>
    <xf numFmtId="2" fontId="17" fillId="0" borderId="1" xfId="51" applyNumberFormat="1" applyFont="1" applyFill="1" applyBorder="1" applyAlignment="1">
      <alignment horizontal="center" vertical="center" wrapText="1"/>
    </xf>
    <xf numFmtId="0" fontId="17" fillId="0" borderId="1" xfId="51" applyFont="1" applyBorder="1" applyAlignment="1">
      <alignment horizontal="center" vertical="center" wrapText="1"/>
    </xf>
    <xf numFmtId="2" fontId="17" fillId="0" borderId="1" xfId="51" applyNumberFormat="1" applyFont="1" applyBorder="1" applyAlignment="1">
      <alignment horizontal="center" vertical="center" wrapText="1"/>
    </xf>
    <xf numFmtId="4" fontId="10" fillId="0" borderId="1" xfId="51" applyNumberFormat="1" applyFont="1" applyBorder="1" applyAlignment="1">
      <alignment horizontal="center" vertical="center"/>
    </xf>
    <xf numFmtId="4" fontId="1" fillId="0" borderId="1" xfId="51" applyNumberFormat="1" applyBorder="1"/>
    <xf numFmtId="0" fontId="1" fillId="0" borderId="1" xfId="51" applyBorder="1"/>
    <xf numFmtId="169" fontId="10" fillId="0" borderId="1" xfId="51" applyNumberFormat="1" applyFont="1" applyBorder="1"/>
    <xf numFmtId="0" fontId="50" fillId="0" borderId="1" xfId="51" applyFont="1" applyBorder="1"/>
    <xf numFmtId="0" fontId="10" fillId="0" borderId="0" xfId="51" applyFont="1" applyAlignment="1">
      <alignment horizontal="right"/>
    </xf>
    <xf numFmtId="0" fontId="10" fillId="0" borderId="0" xfId="51" applyFont="1" applyBorder="1"/>
    <xf numFmtId="0" fontId="10" fillId="0" borderId="0" xfId="51" applyFont="1" applyFill="1" applyBorder="1" applyAlignment="1">
      <alignment wrapText="1"/>
    </xf>
    <xf numFmtId="0" fontId="1" fillId="0" borderId="0" xfId="51" applyFill="1" applyBorder="1"/>
    <xf numFmtId="0" fontId="1" fillId="0" borderId="0" xfId="51" applyAlignment="1">
      <alignment vertical="center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21" fillId="0" borderId="6" xfId="5" applyFont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4" fontId="17" fillId="0" borderId="1" xfId="5" applyNumberFormat="1" applyFont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left" vertical="center" wrapText="1"/>
    </xf>
    <xf numFmtId="0" fontId="41" fillId="0" borderId="1" xfId="51" applyFont="1" applyBorder="1"/>
    <xf numFmtId="4" fontId="41" fillId="0" borderId="1" xfId="51" applyNumberFormat="1" applyFont="1" applyBorder="1"/>
    <xf numFmtId="49" fontId="17" fillId="0" borderId="1" xfId="5" applyNumberFormat="1" applyFont="1" applyBorder="1" applyAlignment="1">
      <alignment horizontal="center" vertical="center" wrapText="1"/>
    </xf>
    <xf numFmtId="1" fontId="21" fillId="0" borderId="1" xfId="5" applyNumberFormat="1" applyFont="1" applyBorder="1" applyAlignment="1">
      <alignment horizontal="center" vertical="center" wrapText="1"/>
    </xf>
    <xf numFmtId="0" fontId="1" fillId="0" borderId="0" xfId="51" applyAlignment="1">
      <alignment horizontal="right"/>
    </xf>
    <xf numFmtId="0" fontId="10" fillId="0" borderId="5" xfId="51" applyFont="1" applyFill="1" applyBorder="1" applyAlignment="1">
      <alignment horizontal="center"/>
    </xf>
    <xf numFmtId="0" fontId="1" fillId="0" borderId="5" xfId="51" applyBorder="1" applyAlignment="1">
      <alignment horizontal="center"/>
    </xf>
    <xf numFmtId="0" fontId="10" fillId="0" borderId="0" xfId="51" applyFont="1" applyFill="1" applyBorder="1" applyAlignment="1">
      <alignment horizontal="right"/>
    </xf>
    <xf numFmtId="0" fontId="10" fillId="0" borderId="1" xfId="51" applyFont="1" applyBorder="1" applyAlignment="1">
      <alignment horizontal="center" wrapText="1"/>
    </xf>
    <xf numFmtId="0" fontId="10" fillId="0" borderId="0" xfId="51" applyFont="1" applyFill="1" applyBorder="1"/>
    <xf numFmtId="0" fontId="17" fillId="0" borderId="1" xfId="0" applyFont="1" applyFill="1" applyBorder="1"/>
    <xf numFmtId="4" fontId="17" fillId="0" borderId="1" xfId="0" applyNumberFormat="1" applyFont="1" applyFill="1" applyBorder="1" applyAlignment="1">
      <alignment horizontal="center"/>
    </xf>
    <xf numFmtId="4" fontId="17" fillId="0" borderId="0" xfId="46" applyNumberFormat="1" applyFont="1" applyFill="1"/>
    <xf numFmtId="0" fontId="17" fillId="0" borderId="2" xfId="7" applyFont="1" applyFill="1" applyBorder="1" applyAlignment="1"/>
    <xf numFmtId="0" fontId="10" fillId="0" borderId="1" xfId="51" applyFont="1" applyBorder="1" applyAlignment="1">
      <alignment vertical="center" wrapText="1"/>
    </xf>
    <xf numFmtId="0" fontId="10" fillId="0" borderId="1" xfId="51" applyFont="1" applyBorder="1" applyAlignment="1">
      <alignment horizontal="center"/>
    </xf>
    <xf numFmtId="0" fontId="10" fillId="0" borderId="1" xfId="51" applyFont="1" applyBorder="1" applyAlignment="1"/>
    <xf numFmtId="0" fontId="10" fillId="0" borderId="0" xfId="51" applyFont="1" applyBorder="1" applyAlignment="1"/>
    <xf numFmtId="4" fontId="10" fillId="0" borderId="0" xfId="51" applyNumberFormat="1" applyFont="1" applyBorder="1"/>
    <xf numFmtId="0" fontId="10" fillId="4" borderId="1" xfId="51" applyFont="1" applyFill="1" applyBorder="1" applyAlignment="1">
      <alignment horizontal="center"/>
    </xf>
    <xf numFmtId="4" fontId="10" fillId="0" borderId="1" xfId="51" applyNumberFormat="1" applyFont="1" applyFill="1" applyBorder="1"/>
    <xf numFmtId="0" fontId="11" fillId="0" borderId="0" xfId="53" applyFont="1" applyAlignment="1">
      <alignment wrapText="1"/>
    </xf>
    <xf numFmtId="0" fontId="9" fillId="0" borderId="0" xfId="53"/>
    <xf numFmtId="0" fontId="10" fillId="0" borderId="0" xfId="53" applyFont="1" applyAlignment="1">
      <alignment wrapText="1"/>
    </xf>
    <xf numFmtId="0" fontId="41" fillId="0" borderId="4" xfId="53" applyFont="1" applyBorder="1" applyAlignment="1">
      <alignment horizontal="center" wrapText="1"/>
    </xf>
    <xf numFmtId="0" fontId="20" fillId="0" borderId="1" xfId="53" applyFont="1" applyBorder="1" applyAlignment="1">
      <alignment horizontal="center" wrapText="1"/>
    </xf>
    <xf numFmtId="0" fontId="22" fillId="0" borderId="1" xfId="53" applyFont="1" applyBorder="1" applyAlignment="1">
      <alignment horizontal="center" vertical="center" wrapText="1"/>
    </xf>
    <xf numFmtId="0" fontId="10" fillId="4" borderId="0" xfId="53" applyFont="1" applyFill="1" applyAlignment="1">
      <alignment wrapText="1"/>
    </xf>
    <xf numFmtId="0" fontId="9" fillId="4" borderId="0" xfId="53" applyFill="1"/>
    <xf numFmtId="0" fontId="10" fillId="4" borderId="1" xfId="53" applyFont="1" applyFill="1" applyBorder="1" applyAlignment="1">
      <alignment horizontal="center" wrapText="1"/>
    </xf>
    <xf numFmtId="4" fontId="10" fillId="4" borderId="1" xfId="53" applyNumberFormat="1" applyFont="1" applyFill="1" applyBorder="1" applyAlignment="1">
      <alignment horizontal="center" wrapText="1"/>
    </xf>
    <xf numFmtId="0" fontId="10" fillId="0" borderId="1" xfId="53" applyFont="1" applyBorder="1" applyAlignment="1">
      <alignment horizontal="center" wrapText="1"/>
    </xf>
    <xf numFmtId="4" fontId="10" fillId="0" borderId="1" xfId="53" applyNumberFormat="1" applyFont="1" applyBorder="1" applyAlignment="1">
      <alignment horizontal="center" wrapText="1"/>
    </xf>
    <xf numFmtId="0" fontId="11" fillId="5" borderId="1" xfId="53" applyFont="1" applyFill="1" applyBorder="1" applyAlignment="1">
      <alignment horizontal="center" wrapText="1"/>
    </xf>
    <xf numFmtId="4" fontId="11" fillId="5" borderId="1" xfId="53" applyNumberFormat="1" applyFont="1" applyFill="1" applyBorder="1" applyAlignment="1">
      <alignment horizontal="center" wrapText="1"/>
    </xf>
    <xf numFmtId="9" fontId="10" fillId="4" borderId="1" xfId="53" applyNumberFormat="1" applyFont="1" applyFill="1" applyBorder="1" applyAlignment="1">
      <alignment horizontal="center" wrapText="1"/>
    </xf>
    <xf numFmtId="9" fontId="10" fillId="0" borderId="1" xfId="53" applyNumberFormat="1" applyFont="1" applyBorder="1" applyAlignment="1">
      <alignment horizontal="center" wrapText="1"/>
    </xf>
    <xf numFmtId="4" fontId="10" fillId="0" borderId="0" xfId="53" applyNumberFormat="1" applyFont="1" applyAlignment="1">
      <alignment wrapText="1"/>
    </xf>
    <xf numFmtId="0" fontId="10" fillId="0" borderId="0" xfId="53" applyFont="1" applyFill="1" applyAlignment="1">
      <alignment wrapText="1"/>
    </xf>
    <xf numFmtId="0" fontId="9" fillId="0" borderId="0" xfId="53" applyFill="1"/>
    <xf numFmtId="0" fontId="10" fillId="0" borderId="1" xfId="53" applyFont="1" applyFill="1" applyBorder="1" applyAlignment="1">
      <alignment horizontal="center" wrapText="1"/>
    </xf>
    <xf numFmtId="4" fontId="10" fillId="0" borderId="1" xfId="53" applyNumberFormat="1" applyFont="1" applyFill="1" applyBorder="1" applyAlignment="1">
      <alignment horizontal="center" wrapText="1"/>
    </xf>
    <xf numFmtId="9" fontId="10" fillId="0" borderId="1" xfId="53" applyNumberFormat="1" applyFont="1" applyFill="1" applyBorder="1" applyAlignment="1">
      <alignment horizontal="center" wrapText="1"/>
    </xf>
    <xf numFmtId="4" fontId="11" fillId="0" borderId="1" xfId="53" applyNumberFormat="1" applyFont="1" applyFill="1" applyBorder="1" applyAlignment="1">
      <alignment horizontal="center" wrapText="1"/>
    </xf>
    <xf numFmtId="4" fontId="9" fillId="0" borderId="0" xfId="53" applyNumberFormat="1"/>
    <xf numFmtId="0" fontId="10" fillId="11" borderId="1" xfId="53" applyFont="1" applyFill="1" applyBorder="1" applyAlignment="1">
      <alignment horizontal="center" wrapText="1"/>
    </xf>
    <xf numFmtId="4" fontId="10" fillId="11" borderId="1" xfId="53" applyNumberFormat="1" applyFont="1" applyFill="1" applyBorder="1" applyAlignment="1">
      <alignment horizontal="center" wrapText="1"/>
    </xf>
    <xf numFmtId="9" fontId="10" fillId="11" borderId="1" xfId="53" applyNumberFormat="1" applyFont="1" applyFill="1" applyBorder="1" applyAlignment="1">
      <alignment horizontal="center" wrapText="1"/>
    </xf>
    <xf numFmtId="4" fontId="11" fillId="11" borderId="1" xfId="53" applyNumberFormat="1" applyFont="1" applyFill="1" applyBorder="1" applyAlignment="1">
      <alignment horizontal="center" wrapText="1"/>
    </xf>
    <xf numFmtId="4" fontId="10" fillId="12" borderId="1" xfId="53" applyNumberFormat="1" applyFont="1" applyFill="1" applyBorder="1" applyAlignment="1">
      <alignment horizontal="center" wrapText="1"/>
    </xf>
    <xf numFmtId="0" fontId="10" fillId="12" borderId="1" xfId="53" applyFont="1" applyFill="1" applyBorder="1" applyAlignment="1">
      <alignment horizontal="center" wrapText="1"/>
    </xf>
    <xf numFmtId="9" fontId="10" fillId="12" borderId="1" xfId="53" applyNumberFormat="1" applyFont="1" applyFill="1" applyBorder="1" applyAlignment="1">
      <alignment horizontal="center" wrapText="1"/>
    </xf>
    <xf numFmtId="4" fontId="11" fillId="12" borderId="1" xfId="53" applyNumberFormat="1" applyFont="1" applyFill="1" applyBorder="1" applyAlignment="1">
      <alignment horizontal="center" wrapText="1"/>
    </xf>
    <xf numFmtId="0" fontId="11" fillId="0" borderId="1" xfId="53" applyFont="1" applyFill="1" applyBorder="1" applyAlignment="1">
      <alignment wrapText="1"/>
    </xf>
    <xf numFmtId="4" fontId="10" fillId="0" borderId="0" xfId="53" applyNumberFormat="1" applyFont="1" applyAlignment="1">
      <alignment horizontal="center" wrapText="1"/>
    </xf>
    <xf numFmtId="0" fontId="9" fillId="0" borderId="0" xfId="53" applyAlignment="1"/>
    <xf numFmtId="4" fontId="11" fillId="6" borderId="0" xfId="53" applyNumberFormat="1" applyFont="1" applyFill="1" applyAlignment="1">
      <alignment wrapText="1"/>
    </xf>
    <xf numFmtId="0" fontId="10" fillId="0" borderId="0" xfId="53" applyFont="1" applyAlignment="1">
      <alignment horizontal="center" wrapText="1"/>
    </xf>
    <xf numFmtId="0" fontId="16" fillId="0" borderId="0" xfId="53" applyNumberFormat="1" applyFont="1" applyBorder="1" applyAlignment="1">
      <alignment horizontal="left"/>
    </xf>
    <xf numFmtId="0" fontId="17" fillId="0" borderId="0" xfId="53" applyFont="1" applyAlignment="1">
      <alignment horizontal="left"/>
    </xf>
    <xf numFmtId="0" fontId="26" fillId="0" borderId="0" xfId="53" applyNumberFormat="1" applyFont="1" applyBorder="1" applyAlignment="1">
      <alignment horizontal="left"/>
    </xf>
    <xf numFmtId="0" fontId="17" fillId="0" borderId="0" xfId="53" applyNumberFormat="1" applyFont="1" applyBorder="1" applyAlignment="1">
      <alignment horizontal="left"/>
    </xf>
    <xf numFmtId="0" fontId="17" fillId="0" borderId="1" xfId="53" applyNumberFormat="1" applyFont="1" applyBorder="1" applyAlignment="1">
      <alignment horizontal="center" vertical="center" wrapText="1"/>
    </xf>
    <xf numFmtId="0" fontId="17" fillId="0" borderId="1" xfId="53" applyNumberFormat="1" applyFont="1" applyBorder="1" applyAlignment="1">
      <alignment horizontal="center" vertical="top"/>
    </xf>
    <xf numFmtId="49" fontId="17" fillId="0" borderId="1" xfId="53" applyNumberFormat="1" applyFont="1" applyBorder="1" applyAlignment="1">
      <alignment horizontal="center" vertical="center"/>
    </xf>
    <xf numFmtId="0" fontId="17" fillId="0" borderId="1" xfId="53" applyNumberFormat="1" applyFont="1" applyBorder="1" applyAlignment="1">
      <alignment horizontal="left" vertical="center" wrapText="1"/>
    </xf>
    <xf numFmtId="0" fontId="17" fillId="0" borderId="1" xfId="53" applyNumberFormat="1" applyFont="1" applyBorder="1" applyAlignment="1">
      <alignment horizontal="center" vertical="center"/>
    </xf>
    <xf numFmtId="0" fontId="17" fillId="0" borderId="6" xfId="53" applyNumberFormat="1" applyFont="1" applyBorder="1" applyAlignment="1">
      <alignment horizontal="left" vertical="center" wrapText="1" indent="2"/>
    </xf>
    <xf numFmtId="4" fontId="17" fillId="0" borderId="0" xfId="53" applyNumberFormat="1" applyFont="1" applyBorder="1" applyAlignment="1">
      <alignment horizontal="left"/>
    </xf>
    <xf numFmtId="0" fontId="17" fillId="0" borderId="7" xfId="53" applyNumberFormat="1" applyFont="1" applyBorder="1" applyAlignment="1">
      <alignment horizontal="left" vertical="center" wrapText="1"/>
    </xf>
    <xf numFmtId="0" fontId="17" fillId="0" borderId="1" xfId="53" applyNumberFormat="1" applyFont="1" applyBorder="1" applyAlignment="1">
      <alignment horizontal="left" vertical="center" wrapText="1" indent="2"/>
    </xf>
    <xf numFmtId="4" fontId="17" fillId="0" borderId="1" xfId="53" applyNumberFormat="1" applyFont="1" applyBorder="1" applyAlignment="1">
      <alignment horizontal="center" vertical="center"/>
    </xf>
    <xf numFmtId="4" fontId="17" fillId="0" borderId="1" xfId="53" applyNumberFormat="1" applyFont="1" applyFill="1" applyBorder="1" applyAlignment="1">
      <alignment horizontal="center" vertical="center"/>
    </xf>
    <xf numFmtId="49" fontId="17" fillId="0" borderId="1" xfId="53" applyNumberFormat="1" applyFont="1" applyBorder="1" applyAlignment="1">
      <alignment horizontal="right" vertical="center"/>
    </xf>
    <xf numFmtId="0" fontId="17" fillId="0" borderId="1" xfId="53" applyNumberFormat="1" applyFont="1" applyFill="1" applyBorder="1" applyAlignment="1">
      <alignment horizontal="center" vertical="center"/>
    </xf>
    <xf numFmtId="4" fontId="22" fillId="0" borderId="1" xfId="53" applyNumberFormat="1" applyFont="1" applyFill="1" applyBorder="1" applyAlignment="1">
      <alignment horizontal="center" vertical="center"/>
    </xf>
    <xf numFmtId="0" fontId="17" fillId="0" borderId="6" xfId="53" applyNumberFormat="1" applyFont="1" applyBorder="1" applyAlignment="1">
      <alignment horizontal="left" vertical="center" wrapText="1"/>
    </xf>
    <xf numFmtId="0" fontId="17" fillId="0" borderId="7" xfId="53" applyNumberFormat="1" applyFont="1" applyBorder="1" applyAlignment="1">
      <alignment horizontal="left" vertical="center" wrapText="1" indent="2"/>
    </xf>
    <xf numFmtId="0" fontId="10" fillId="0" borderId="1" xfId="51" applyFont="1" applyBorder="1" applyAlignment="1">
      <alignment horizontal="center" vertical="center" wrapText="1"/>
    </xf>
    <xf numFmtId="168" fontId="10" fillId="0" borderId="1" xfId="21" applyNumberFormat="1" applyFont="1" applyFill="1" applyBorder="1" applyAlignment="1">
      <alignment horizontal="center" vertical="center"/>
    </xf>
    <xf numFmtId="168" fontId="10" fillId="0" borderId="1" xfId="20" applyNumberFormat="1" applyFont="1" applyFill="1" applyBorder="1" applyAlignment="1">
      <alignment horizontal="center" vertical="center"/>
    </xf>
    <xf numFmtId="0" fontId="11" fillId="0" borderId="0" xfId="0" applyFont="1"/>
    <xf numFmtId="168" fontId="10" fillId="0" borderId="0" xfId="0" applyNumberFormat="1" applyFont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2" fontId="10" fillId="0" borderId="1" xfId="51" applyNumberFormat="1" applyFont="1" applyBorder="1"/>
    <xf numFmtId="0" fontId="10" fillId="0" borderId="11" xfId="51" applyFont="1" applyFill="1" applyBorder="1"/>
    <xf numFmtId="0" fontId="17" fillId="0" borderId="1" xfId="51" applyFont="1" applyFill="1" applyBorder="1" applyAlignment="1" applyProtection="1">
      <alignment horizontal="center" vertical="center" wrapText="1"/>
    </xf>
    <xf numFmtId="0" fontId="39" fillId="0" borderId="1" xfId="51" applyFont="1" applyFill="1" applyBorder="1" applyAlignment="1" applyProtection="1">
      <alignment horizontal="center" vertical="center" wrapText="1"/>
    </xf>
    <xf numFmtId="0" fontId="39" fillId="0" borderId="1" xfId="51" applyFont="1" applyFill="1" applyBorder="1" applyAlignment="1" applyProtection="1">
      <alignment horizontal="left" vertical="center" wrapText="1"/>
    </xf>
    <xf numFmtId="0" fontId="52" fillId="0" borderId="1" xfId="51" applyFont="1" applyFill="1" applyBorder="1" applyAlignment="1" applyProtection="1">
      <alignment horizontal="left" vertical="center" wrapText="1"/>
    </xf>
    <xf numFmtId="165" fontId="39" fillId="0" borderId="1" xfId="28" applyFont="1" applyBorder="1" applyAlignment="1">
      <alignment horizontal="left" vertical="center" wrapText="1"/>
    </xf>
    <xf numFmtId="0" fontId="22" fillId="0" borderId="1" xfId="51" applyFont="1" applyBorder="1" applyAlignment="1">
      <alignment horizontal="center" vertical="top" wrapText="1"/>
    </xf>
    <xf numFmtId="0" fontId="11" fillId="0" borderId="0" xfId="51" applyFont="1" applyFill="1" applyBorder="1" applyAlignment="1">
      <alignment horizontal="center" vertical="center"/>
    </xf>
    <xf numFmtId="0" fontId="11" fillId="0" borderId="5" xfId="51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left" vertical="top"/>
    </xf>
    <xf numFmtId="0" fontId="17" fillId="0" borderId="2" xfId="6" applyFont="1" applyFill="1" applyBorder="1" applyAlignment="1">
      <alignment horizontal="left" vertical="top" wrapText="1"/>
    </xf>
    <xf numFmtId="0" fontId="17" fillId="0" borderId="2" xfId="6" applyFont="1" applyFill="1" applyBorder="1" applyAlignment="1">
      <alignment horizontal="left" vertical="top"/>
    </xf>
    <xf numFmtId="4" fontId="17" fillId="0" borderId="1" xfId="51" applyNumberFormat="1" applyFont="1" applyFill="1" applyBorder="1" applyAlignment="1">
      <alignment horizontal="center" vertical="center"/>
    </xf>
    <xf numFmtId="0" fontId="17" fillId="0" borderId="9" xfId="6" applyFont="1" applyFill="1" applyBorder="1" applyAlignment="1">
      <alignment horizontal="left" vertical="top"/>
    </xf>
    <xf numFmtId="0" fontId="19" fillId="0" borderId="2" xfId="51" applyFont="1" applyBorder="1"/>
    <xf numFmtId="0" fontId="17" fillId="0" borderId="2" xfId="6" applyFont="1" applyBorder="1" applyAlignment="1">
      <alignment horizontal="left" vertical="top"/>
    </xf>
    <xf numFmtId="3" fontId="10" fillId="4" borderId="1" xfId="51" applyNumberFormat="1" applyFont="1" applyFill="1" applyBorder="1" applyAlignment="1">
      <alignment horizontal="center"/>
    </xf>
    <xf numFmtId="3" fontId="10" fillId="0" borderId="1" xfId="51" applyNumberFormat="1" applyFont="1" applyBorder="1" applyAlignment="1">
      <alignment horizontal="center"/>
    </xf>
    <xf numFmtId="4" fontId="17" fillId="0" borderId="1" xfId="6" applyNumberFormat="1" applyFont="1" applyFill="1" applyBorder="1" applyAlignment="1">
      <alignment horizontal="right"/>
    </xf>
    <xf numFmtId="4" fontId="17" fillId="0" borderId="1" xfId="6" applyNumberFormat="1" applyFont="1" applyFill="1" applyBorder="1" applyAlignment="1">
      <alignment horizontal="right" vertical="center"/>
    </xf>
    <xf numFmtId="4" fontId="17" fillId="0" borderId="1" xfId="51" applyNumberFormat="1" applyFont="1" applyFill="1" applyBorder="1" applyAlignment="1">
      <alignment horizontal="right" vertical="center"/>
    </xf>
    <xf numFmtId="4" fontId="17" fillId="0" borderId="1" xfId="51" applyNumberFormat="1" applyFont="1" applyFill="1" applyBorder="1" applyAlignment="1">
      <alignment horizontal="right"/>
    </xf>
    <xf numFmtId="3" fontId="17" fillId="0" borderId="1" xfId="6" applyNumberFormat="1" applyFont="1" applyFill="1" applyBorder="1" applyAlignment="1"/>
    <xf numFmtId="3" fontId="17" fillId="0" borderId="1" xfId="6" applyNumberFormat="1" applyFont="1" applyFill="1" applyBorder="1" applyAlignment="1">
      <alignment horizontal="right" vertical="center"/>
    </xf>
    <xf numFmtId="3" fontId="17" fillId="0" borderId="1" xfId="51" applyNumberFormat="1" applyFont="1" applyFill="1" applyBorder="1" applyAlignment="1">
      <alignment horizontal="right" vertical="center"/>
    </xf>
    <xf numFmtId="3" fontId="17" fillId="0" borderId="1" xfId="5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168" fontId="10" fillId="0" borderId="1" xfId="51" applyNumberFormat="1" applyFont="1" applyBorder="1" applyAlignment="1">
      <alignment horizontal="right" vertical="center"/>
    </xf>
    <xf numFmtId="0" fontId="26" fillId="0" borderId="0" xfId="5" applyFont="1" applyAlignment="1">
      <alignment horizontal="left"/>
    </xf>
    <xf numFmtId="0" fontId="19" fillId="0" borderId="1" xfId="5" applyFont="1" applyBorder="1" applyAlignment="1">
      <alignment horizontal="center" vertical="center" wrapText="1"/>
    </xf>
    <xf numFmtId="0" fontId="31" fillId="0" borderId="0" xfId="5" applyFont="1" applyBorder="1" applyAlignment="1">
      <alignment vertical="center"/>
    </xf>
    <xf numFmtId="0" fontId="31" fillId="0" borderId="5" xfId="5" applyFont="1" applyBorder="1" applyAlignment="1">
      <alignment vertical="center"/>
    </xf>
    <xf numFmtId="0" fontId="31" fillId="0" borderId="0" xfId="5" applyFont="1" applyBorder="1" applyAlignment="1">
      <alignment horizontal="left" vertical="center"/>
    </xf>
    <xf numFmtId="0" fontId="31" fillId="0" borderId="5" xfId="5" applyFont="1" applyBorder="1" applyAlignment="1">
      <alignment horizontal="left" vertical="center"/>
    </xf>
    <xf numFmtId="0" fontId="39" fillId="0" borderId="5" xfId="5" applyFont="1" applyBorder="1" applyAlignment="1"/>
    <xf numFmtId="0" fontId="39" fillId="0" borderId="5" xfId="5" applyFont="1" applyBorder="1"/>
    <xf numFmtId="0" fontId="26" fillId="0" borderId="5" xfId="5" applyFont="1" applyBorder="1" applyAlignment="1">
      <alignment horizontal="left"/>
    </xf>
    <xf numFmtId="0" fontId="19" fillId="0" borderId="1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/>
    </xf>
    <xf numFmtId="168" fontId="26" fillId="0" borderId="1" xfId="5" applyNumberFormat="1" applyFont="1" applyBorder="1" applyAlignment="1">
      <alignment horizontal="right" vertical="center" wrapText="1"/>
    </xf>
    <xf numFmtId="168" fontId="17" fillId="0" borderId="1" xfId="45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9" fillId="0" borderId="1" xfId="45" applyFont="1" applyBorder="1" applyAlignment="1">
      <alignment horizontal="left" vertical="center" wrapText="1"/>
    </xf>
    <xf numFmtId="0" fontId="19" fillId="0" borderId="1" xfId="45" applyFont="1" applyBorder="1" applyAlignment="1">
      <alignment vertical="center" wrapText="1"/>
    </xf>
    <xf numFmtId="0" fontId="19" fillId="0" borderId="1" xfId="45" applyFont="1" applyBorder="1" applyAlignment="1">
      <alignment horizontal="center" vertical="center" wrapText="1"/>
    </xf>
    <xf numFmtId="0" fontId="0" fillId="0" borderId="1" xfId="0" applyBorder="1"/>
    <xf numFmtId="0" fontId="17" fillId="0" borderId="1" xfId="45" applyFont="1" applyBorder="1" applyAlignment="1">
      <alignment horizontal="right" vertical="center"/>
    </xf>
    <xf numFmtId="0" fontId="36" fillId="0" borderId="0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vertical="center" wrapText="1"/>
    </xf>
    <xf numFmtId="168" fontId="26" fillId="0" borderId="1" xfId="5" applyNumberFormat="1" applyFont="1" applyBorder="1" applyAlignment="1">
      <alignment horizontal="right" vertical="center" wrapText="1"/>
    </xf>
    <xf numFmtId="0" fontId="19" fillId="0" borderId="1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/>
    </xf>
    <xf numFmtId="0" fontId="36" fillId="0" borderId="0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 wrapText="1"/>
    </xf>
    <xf numFmtId="0" fontId="44" fillId="0" borderId="0" xfId="5" applyFont="1" applyAlignment="1">
      <alignment horizontal="center" wrapText="1"/>
    </xf>
    <xf numFmtId="0" fontId="26" fillId="0" borderId="0" xfId="5" applyFont="1" applyFill="1" applyAlignment="1">
      <alignment horizontal="left" vertical="top" wrapText="1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horizontal="left" vertical="top" wrapText="1"/>
    </xf>
    <xf numFmtId="0" fontId="26" fillId="0" borderId="0" xfId="5" applyFont="1" applyFill="1" applyAlignment="1">
      <alignment horizontal="left" vertical="center" wrapText="1"/>
    </xf>
    <xf numFmtId="0" fontId="14" fillId="0" borderId="0" xfId="5" applyAlignment="1"/>
    <xf numFmtId="49" fontId="26" fillId="0" borderId="2" xfId="5" applyNumberFormat="1" applyFont="1" applyFill="1" applyBorder="1" applyAlignment="1">
      <alignment horizontal="center"/>
    </xf>
    <xf numFmtId="49" fontId="26" fillId="0" borderId="3" xfId="5" applyNumberFormat="1" applyFont="1" applyFill="1" applyBorder="1" applyAlignment="1">
      <alignment horizontal="center"/>
    </xf>
    <xf numFmtId="49" fontId="26" fillId="0" borderId="4" xfId="5" applyNumberFormat="1" applyFont="1" applyFill="1" applyBorder="1" applyAlignment="1">
      <alignment horizontal="center"/>
    </xf>
    <xf numFmtId="0" fontId="44" fillId="0" borderId="0" xfId="5" applyFont="1" applyFill="1" applyAlignment="1">
      <alignment horizontal="center" wrapText="1"/>
    </xf>
    <xf numFmtId="49" fontId="26" fillId="0" borderId="8" xfId="5" applyNumberFormat="1" applyFont="1" applyFill="1" applyBorder="1" applyAlignment="1">
      <alignment horizontal="center" vertical="center"/>
    </xf>
    <xf numFmtId="49" fontId="26" fillId="0" borderId="5" xfId="5" applyNumberFormat="1" applyFont="1" applyFill="1" applyBorder="1" applyAlignment="1">
      <alignment horizontal="center" vertical="center"/>
    </xf>
    <xf numFmtId="49" fontId="26" fillId="0" borderId="14" xfId="5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49" fontId="26" fillId="0" borderId="2" xfId="5" applyNumberFormat="1" applyFont="1" applyFill="1" applyBorder="1" applyAlignment="1">
      <alignment horizontal="center" vertical="center"/>
    </xf>
    <xf numFmtId="49" fontId="26" fillId="0" borderId="3" xfId="5" applyNumberFormat="1" applyFont="1" applyFill="1" applyBorder="1" applyAlignment="1">
      <alignment horizontal="center" vertical="center"/>
    </xf>
    <xf numFmtId="49" fontId="26" fillId="0" borderId="4" xfId="5" applyNumberFormat="1" applyFont="1" applyFill="1" applyBorder="1" applyAlignment="1">
      <alignment horizontal="center" vertical="center"/>
    </xf>
    <xf numFmtId="0" fontId="32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16" fillId="0" borderId="0" xfId="5" applyFont="1" applyAlignment="1">
      <alignment horizontal="center"/>
    </xf>
    <xf numFmtId="0" fontId="31" fillId="0" borderId="0" xfId="5" applyFont="1" applyAlignment="1">
      <alignment horizontal="left"/>
    </xf>
    <xf numFmtId="0" fontId="32" fillId="0" borderId="0" xfId="5" applyFont="1" applyAlignment="1">
      <alignment horizontal="center"/>
    </xf>
    <xf numFmtId="0" fontId="32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17" fillId="0" borderId="5" xfId="5" applyFont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/>
    </xf>
    <xf numFmtId="0" fontId="16" fillId="0" borderId="0" xfId="5" applyFont="1" applyBorder="1" applyAlignment="1">
      <alignment horizontal="right"/>
    </xf>
    <xf numFmtId="49" fontId="16" fillId="0" borderId="5" xfId="5" applyNumberFormat="1" applyFont="1" applyFill="1" applyBorder="1" applyAlignment="1">
      <alignment horizontal="left"/>
    </xf>
    <xf numFmtId="0" fontId="17" fillId="0" borderId="5" xfId="5" applyFont="1" applyBorder="1" applyAlignment="1">
      <alignment horizontal="center"/>
    </xf>
    <xf numFmtId="0" fontId="17" fillId="0" borderId="10" xfId="5" applyFont="1" applyBorder="1" applyAlignment="1">
      <alignment horizontal="center"/>
    </xf>
    <xf numFmtId="168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vertical="center" wrapText="1"/>
    </xf>
    <xf numFmtId="168" fontId="26" fillId="0" borderId="1" xfId="5" applyNumberFormat="1" applyFont="1" applyBorder="1" applyAlignment="1">
      <alignment horizontal="right" vertical="center" wrapText="1"/>
    </xf>
    <xf numFmtId="0" fontId="45" fillId="0" borderId="0" xfId="5" applyFont="1" applyFill="1" applyBorder="1" applyAlignment="1">
      <alignment horizontal="center" wrapText="1" shrinkToFit="1"/>
    </xf>
    <xf numFmtId="0" fontId="47" fillId="0" borderId="1" xfId="44" applyFont="1" applyBorder="1" applyAlignment="1">
      <alignment horizontal="center" vertical="center" wrapText="1"/>
    </xf>
    <xf numFmtId="168" fontId="26" fillId="0" borderId="6" xfId="5" applyNumberFormat="1" applyFont="1" applyBorder="1" applyAlignment="1">
      <alignment horizontal="right" vertical="center" wrapText="1"/>
    </xf>
    <xf numFmtId="168" fontId="26" fillId="0" borderId="7" xfId="5" applyNumberFormat="1" applyFont="1" applyBorder="1" applyAlignment="1">
      <alignment horizontal="right" vertical="center" wrapText="1"/>
    </xf>
    <xf numFmtId="0" fontId="17" fillId="0" borderId="10" xfId="5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7" fillId="0" borderId="23" xfId="5" applyNumberFormat="1" applyFont="1" applyBorder="1" applyAlignment="1">
      <alignment horizontal="center" vertical="top"/>
    </xf>
    <xf numFmtId="0" fontId="17" fillId="0" borderId="10" xfId="5" applyNumberFormat="1" applyFont="1" applyBorder="1" applyAlignment="1">
      <alignment horizontal="center" vertical="top"/>
    </xf>
    <xf numFmtId="0" fontId="17" fillId="0" borderId="24" xfId="5" applyNumberFormat="1" applyFont="1" applyBorder="1" applyAlignment="1">
      <alignment horizontal="center" vertical="top"/>
    </xf>
    <xf numFmtId="0" fontId="26" fillId="0" borderId="5" xfId="5" applyFont="1" applyBorder="1" applyAlignment="1">
      <alignment horizontal="center"/>
    </xf>
    <xf numFmtId="0" fontId="17" fillId="0" borderId="0" xfId="5" applyFont="1" applyBorder="1" applyAlignment="1">
      <alignment horizontal="center" vertical="center"/>
    </xf>
    <xf numFmtId="14" fontId="26" fillId="0" borderId="1" xfId="5" applyNumberFormat="1" applyFont="1" applyBorder="1" applyAlignment="1">
      <alignment horizontal="center" vertical="center" wrapText="1"/>
    </xf>
    <xf numFmtId="0" fontId="45" fillId="0" borderId="0" xfId="44" applyFont="1" applyAlignment="1">
      <alignment horizontal="center" vertical="center"/>
    </xf>
    <xf numFmtId="0" fontId="36" fillId="0" borderId="0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7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6" fillId="0" borderId="0" xfId="5" applyNumberFormat="1" applyFont="1" applyBorder="1" applyAlignment="1">
      <alignment horizontal="center" wrapText="1"/>
    </xf>
    <xf numFmtId="0" fontId="17" fillId="0" borderId="15" xfId="5" applyNumberFormat="1" applyFont="1" applyBorder="1" applyAlignment="1">
      <alignment horizontal="center" vertical="center" wrapText="1"/>
    </xf>
    <xf numFmtId="0" fontId="17" fillId="0" borderId="10" xfId="5" applyNumberFormat="1" applyFont="1" applyBorder="1" applyAlignment="1">
      <alignment horizontal="center" vertical="center" wrapText="1"/>
    </xf>
    <xf numFmtId="0" fontId="17" fillId="0" borderId="12" xfId="5" applyNumberFormat="1" applyFont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/>
    </xf>
    <xf numFmtId="0" fontId="17" fillId="0" borderId="1" xfId="5" applyNumberFormat="1" applyFont="1" applyBorder="1" applyAlignment="1">
      <alignment horizontal="left" vertical="center" wrapText="1"/>
    </xf>
    <xf numFmtId="0" fontId="17" fillId="0" borderId="1" xfId="5" applyNumberFormat="1" applyFont="1" applyBorder="1" applyAlignment="1">
      <alignment horizontal="center" vertical="center"/>
    </xf>
    <xf numFmtId="0" fontId="17" fillId="0" borderId="2" xfId="5" applyNumberFormat="1" applyFont="1" applyBorder="1" applyAlignment="1">
      <alignment horizontal="center" vertical="center"/>
    </xf>
    <xf numFmtId="0" fontId="17" fillId="0" borderId="3" xfId="5" applyNumberFormat="1" applyFont="1" applyBorder="1" applyAlignment="1">
      <alignment horizontal="center" vertical="center"/>
    </xf>
    <xf numFmtId="0" fontId="17" fillId="0" borderId="4" xfId="5" applyNumberFormat="1" applyFont="1" applyBorder="1" applyAlignment="1">
      <alignment horizontal="center" vertical="center"/>
    </xf>
    <xf numFmtId="4" fontId="17" fillId="0" borderId="1" xfId="5" applyNumberFormat="1" applyFont="1" applyBorder="1" applyAlignment="1">
      <alignment horizontal="center" vertical="center"/>
    </xf>
    <xf numFmtId="0" fontId="17" fillId="0" borderId="1" xfId="5" applyNumberFormat="1" applyFont="1" applyBorder="1" applyAlignment="1">
      <alignment horizontal="center" vertical="top"/>
    </xf>
    <xf numFmtId="4" fontId="17" fillId="0" borderId="2" xfId="5" applyNumberFormat="1" applyFont="1" applyBorder="1" applyAlignment="1">
      <alignment horizontal="center" vertical="center"/>
    </xf>
    <xf numFmtId="4" fontId="17" fillId="0" borderId="3" xfId="5" applyNumberFormat="1" applyFont="1" applyBorder="1" applyAlignment="1">
      <alignment horizontal="center" vertical="center"/>
    </xf>
    <xf numFmtId="4" fontId="17" fillId="0" borderId="4" xfId="5" applyNumberFormat="1" applyFont="1" applyBorder="1" applyAlignment="1">
      <alignment horizontal="center" vertical="center"/>
    </xf>
    <xf numFmtId="49" fontId="17" fillId="0" borderId="3" xfId="5" applyNumberFormat="1" applyFont="1" applyBorder="1" applyAlignment="1">
      <alignment horizontal="right" vertical="center"/>
    </xf>
    <xf numFmtId="49" fontId="17" fillId="0" borderId="4" xfId="5" applyNumberFormat="1" applyFont="1" applyBorder="1" applyAlignment="1">
      <alignment horizontal="right" vertical="center"/>
    </xf>
    <xf numFmtId="4" fontId="22" fillId="0" borderId="1" xfId="5" applyNumberFormat="1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/>
    </xf>
    <xf numFmtId="0" fontId="17" fillId="0" borderId="3" xfId="5" applyNumberFormat="1" applyFont="1" applyBorder="1" applyAlignment="1">
      <alignment horizontal="left" vertical="center" wrapText="1" indent="2"/>
    </xf>
    <xf numFmtId="0" fontId="17" fillId="0" borderId="4" xfId="5" applyNumberFormat="1" applyFont="1" applyBorder="1" applyAlignment="1">
      <alignment horizontal="left" vertical="center" wrapText="1" indent="2"/>
    </xf>
    <xf numFmtId="0" fontId="17" fillId="0" borderId="3" xfId="5" applyNumberFormat="1" applyFont="1" applyBorder="1" applyAlignment="1">
      <alignment horizontal="left" vertical="center" wrapText="1"/>
    </xf>
    <xf numFmtId="0" fontId="17" fillId="0" borderId="4" xfId="5" applyNumberFormat="1" applyFont="1" applyBorder="1" applyAlignment="1">
      <alignment horizontal="left" vertical="center" wrapText="1"/>
    </xf>
    <xf numFmtId="49" fontId="17" fillId="0" borderId="15" xfId="5" applyNumberFormat="1" applyFont="1" applyBorder="1" applyAlignment="1">
      <alignment horizontal="center" vertical="center"/>
    </xf>
    <xf numFmtId="49" fontId="17" fillId="0" borderId="10" xfId="5" applyNumberFormat="1" applyFont="1" applyBorder="1" applyAlignment="1">
      <alignment horizontal="center" vertical="center"/>
    </xf>
    <xf numFmtId="49" fontId="17" fillId="0" borderId="12" xfId="5" applyNumberFormat="1" applyFont="1" applyBorder="1" applyAlignment="1">
      <alignment horizontal="center" vertical="center"/>
    </xf>
    <xf numFmtId="49" fontId="17" fillId="0" borderId="8" xfId="5" applyNumberFormat="1" applyFont="1" applyBorder="1" applyAlignment="1">
      <alignment horizontal="center" vertical="center"/>
    </xf>
    <xf numFmtId="49" fontId="17" fillId="0" borderId="5" xfId="5" applyNumberFormat="1" applyFont="1" applyBorder="1" applyAlignment="1">
      <alignment horizontal="center" vertical="center"/>
    </xf>
    <xf numFmtId="49" fontId="17" fillId="0" borderId="14" xfId="5" applyNumberFormat="1" applyFont="1" applyBorder="1" applyAlignment="1">
      <alignment horizontal="center" vertical="center"/>
    </xf>
    <xf numFmtId="0" fontId="17" fillId="0" borderId="10" xfId="5" applyNumberFormat="1" applyFont="1" applyBorder="1" applyAlignment="1">
      <alignment horizontal="left" vertical="center" wrapText="1" indent="2"/>
    </xf>
    <xf numFmtId="0" fontId="17" fillId="0" borderId="12" xfId="5" applyNumberFormat="1" applyFont="1" applyBorder="1" applyAlignment="1">
      <alignment horizontal="left" vertical="center" wrapText="1" indent="2"/>
    </xf>
    <xf numFmtId="4" fontId="22" fillId="7" borderId="15" xfId="5" applyNumberFormat="1" applyFont="1" applyFill="1" applyBorder="1" applyAlignment="1">
      <alignment horizontal="center"/>
    </xf>
    <xf numFmtId="0" fontId="22" fillId="7" borderId="10" xfId="5" applyNumberFormat="1" applyFont="1" applyFill="1" applyBorder="1" applyAlignment="1">
      <alignment horizontal="center"/>
    </xf>
    <xf numFmtId="0" fontId="22" fillId="7" borderId="12" xfId="5" applyNumberFormat="1" applyFont="1" applyFill="1" applyBorder="1" applyAlignment="1">
      <alignment horizontal="center"/>
    </xf>
    <xf numFmtId="0" fontId="22" fillId="7" borderId="8" xfId="5" applyNumberFormat="1" applyFont="1" applyFill="1" applyBorder="1" applyAlignment="1">
      <alignment horizontal="center"/>
    </xf>
    <xf numFmtId="0" fontId="22" fillId="7" borderId="5" xfId="5" applyNumberFormat="1" applyFont="1" applyFill="1" applyBorder="1" applyAlignment="1">
      <alignment horizontal="center"/>
    </xf>
    <xf numFmtId="0" fontId="22" fillId="7" borderId="14" xfId="5" applyNumberFormat="1" applyFont="1" applyFill="1" applyBorder="1" applyAlignment="1">
      <alignment horizontal="center"/>
    </xf>
    <xf numFmtId="4" fontId="17" fillId="0" borderId="15" xfId="5" applyNumberFormat="1" applyFont="1" applyBorder="1" applyAlignment="1">
      <alignment horizontal="center"/>
    </xf>
    <xf numFmtId="4" fontId="17" fillId="0" borderId="10" xfId="5" applyNumberFormat="1" applyFont="1" applyBorder="1" applyAlignment="1">
      <alignment horizontal="center"/>
    </xf>
    <xf numFmtId="4" fontId="17" fillId="0" borderId="12" xfId="5" applyNumberFormat="1" applyFont="1" applyBorder="1" applyAlignment="1">
      <alignment horizontal="center"/>
    </xf>
    <xf numFmtId="4" fontId="17" fillId="0" borderId="8" xfId="5" applyNumberFormat="1" applyFont="1" applyBorder="1" applyAlignment="1">
      <alignment horizontal="center"/>
    </xf>
    <xf numFmtId="4" fontId="17" fillId="0" borderId="5" xfId="5" applyNumberFormat="1" applyFont="1" applyBorder="1" applyAlignment="1">
      <alignment horizontal="center"/>
    </xf>
    <xf numFmtId="4" fontId="17" fillId="0" borderId="14" xfId="5" applyNumberFormat="1" applyFont="1" applyBorder="1" applyAlignment="1">
      <alignment horizontal="center"/>
    </xf>
    <xf numFmtId="0" fontId="17" fillId="0" borderId="5" xfId="5" applyNumberFormat="1" applyFont="1" applyBorder="1" applyAlignment="1">
      <alignment horizontal="left" vertical="center" wrapText="1"/>
    </xf>
    <xf numFmtId="0" fontId="17" fillId="0" borderId="14" xfId="5" applyNumberFormat="1" applyFont="1" applyBorder="1" applyAlignment="1">
      <alignment horizontal="left" vertical="center" wrapText="1"/>
    </xf>
    <xf numFmtId="0" fontId="17" fillId="0" borderId="10" xfId="5" applyNumberFormat="1" applyFont="1" applyBorder="1" applyAlignment="1">
      <alignment horizontal="center"/>
    </xf>
    <xf numFmtId="0" fontId="17" fillId="0" borderId="12" xfId="5" applyNumberFormat="1" applyFont="1" applyBorder="1" applyAlignment="1">
      <alignment horizontal="center"/>
    </xf>
    <xf numFmtId="0" fontId="17" fillId="0" borderId="8" xfId="5" applyNumberFormat="1" applyFont="1" applyBorder="1" applyAlignment="1">
      <alignment horizontal="center"/>
    </xf>
    <xf numFmtId="0" fontId="17" fillId="0" borderId="5" xfId="5" applyNumberFormat="1" applyFont="1" applyBorder="1" applyAlignment="1">
      <alignment horizontal="center"/>
    </xf>
    <xf numFmtId="0" fontId="17" fillId="0" borderId="14" xfId="5" applyNumberFormat="1" applyFont="1" applyBorder="1" applyAlignment="1">
      <alignment horizontal="center"/>
    </xf>
    <xf numFmtId="4" fontId="17" fillId="0" borderId="1" xfId="5" applyNumberFormat="1" applyFont="1" applyFill="1" applyBorder="1" applyAlignment="1">
      <alignment horizontal="center" vertical="center"/>
    </xf>
    <xf numFmtId="0" fontId="17" fillId="0" borderId="1" xfId="5" applyNumberFormat="1" applyFont="1" applyFill="1" applyBorder="1" applyAlignment="1">
      <alignment horizontal="center" vertical="center"/>
    </xf>
    <xf numFmtId="49" fontId="17" fillId="0" borderId="2" xfId="5" applyNumberFormat="1" applyFont="1" applyBorder="1" applyAlignment="1">
      <alignment horizontal="right" vertical="center"/>
    </xf>
    <xf numFmtId="4" fontId="22" fillId="0" borderId="1" xfId="5" applyNumberFormat="1" applyFont="1" applyFill="1" applyBorder="1" applyAlignment="1">
      <alignment horizontal="center" vertical="center"/>
    </xf>
    <xf numFmtId="0" fontId="22" fillId="0" borderId="1" xfId="5" applyNumberFormat="1" applyFont="1" applyFill="1" applyBorder="1" applyAlignment="1">
      <alignment horizontal="center" vertical="center"/>
    </xf>
    <xf numFmtId="0" fontId="22" fillId="0" borderId="1" xfId="5" applyNumberFormat="1" applyFont="1" applyBorder="1" applyAlignment="1">
      <alignment horizontal="center" vertical="center"/>
    </xf>
    <xf numFmtId="0" fontId="17" fillId="0" borderId="2" xfId="5" applyNumberFormat="1" applyFont="1" applyBorder="1" applyAlignment="1">
      <alignment horizontal="center" vertical="center" wrapText="1"/>
    </xf>
    <xf numFmtId="0" fontId="17" fillId="0" borderId="3" xfId="5" applyNumberFormat="1" applyFont="1" applyBorder="1" applyAlignment="1">
      <alignment horizontal="center" vertical="center" wrapText="1"/>
    </xf>
    <xf numFmtId="0" fontId="17" fillId="0" borderId="4" xfId="5" applyNumberFormat="1" applyFont="1" applyBorder="1" applyAlignment="1">
      <alignment horizontal="center" vertical="center" wrapText="1"/>
    </xf>
    <xf numFmtId="49" fontId="17" fillId="0" borderId="2" xfId="5" applyNumberFormat="1" applyFont="1" applyBorder="1" applyAlignment="1">
      <alignment horizontal="left" vertical="center"/>
    </xf>
    <xf numFmtId="49" fontId="17" fillId="0" borderId="3" xfId="5" applyNumberFormat="1" applyFont="1" applyBorder="1" applyAlignment="1">
      <alignment horizontal="left" vertical="center"/>
    </xf>
    <xf numFmtId="49" fontId="17" fillId="0" borderId="4" xfId="5" applyNumberFormat="1" applyFont="1" applyBorder="1" applyAlignment="1">
      <alignment horizontal="left" vertical="center"/>
    </xf>
    <xf numFmtId="0" fontId="17" fillId="0" borderId="2" xfId="5" applyNumberFormat="1" applyFont="1" applyBorder="1" applyAlignment="1">
      <alignment horizontal="left" vertical="center" wrapText="1"/>
    </xf>
    <xf numFmtId="4" fontId="17" fillId="0" borderId="1" xfId="5" quotePrefix="1" applyNumberFormat="1" applyFont="1" applyBorder="1" applyAlignment="1">
      <alignment horizontal="center" vertical="center"/>
    </xf>
    <xf numFmtId="0" fontId="17" fillId="0" borderId="2" xfId="5" applyNumberFormat="1" applyFont="1" applyBorder="1" applyAlignment="1">
      <alignment horizontal="right" vertical="center"/>
    </xf>
    <xf numFmtId="0" fontId="17" fillId="0" borderId="3" xfId="5" applyNumberFormat="1" applyFont="1" applyBorder="1" applyAlignment="1">
      <alignment horizontal="right" vertical="center"/>
    </xf>
    <xf numFmtId="0" fontId="17" fillId="0" borderId="4" xfId="5" applyNumberFormat="1" applyFont="1" applyBorder="1" applyAlignment="1">
      <alignment horizontal="right" vertical="center"/>
    </xf>
    <xf numFmtId="0" fontId="20" fillId="0" borderId="0" xfId="53" applyFont="1" applyAlignment="1">
      <alignment horizontal="center" wrapText="1"/>
    </xf>
    <xf numFmtId="0" fontId="20" fillId="0" borderId="1" xfId="53" applyFont="1" applyBorder="1" applyAlignment="1">
      <alignment horizontal="center" wrapText="1"/>
    </xf>
    <xf numFmtId="0" fontId="11" fillId="0" borderId="2" xfId="53" applyFont="1" applyBorder="1" applyAlignment="1">
      <alignment horizontal="center" wrapText="1"/>
    </xf>
    <xf numFmtId="0" fontId="11" fillId="0" borderId="3" xfId="53" applyFont="1" applyBorder="1" applyAlignment="1">
      <alignment horizontal="center" wrapText="1"/>
    </xf>
    <xf numFmtId="0" fontId="20" fillId="0" borderId="2" xfId="53" applyFont="1" applyBorder="1" applyAlignment="1">
      <alignment horizontal="center" wrapText="1"/>
    </xf>
    <xf numFmtId="0" fontId="9" fillId="0" borderId="4" xfId="53" applyBorder="1" applyAlignment="1">
      <alignment horizontal="center" wrapText="1"/>
    </xf>
    <xf numFmtId="0" fontId="22" fillId="0" borderId="1" xfId="53" applyFont="1" applyBorder="1" applyAlignment="1">
      <alignment horizontal="center" vertical="center" wrapText="1"/>
    </xf>
    <xf numFmtId="0" fontId="11" fillId="0" borderId="0" xfId="53" applyFont="1" applyAlignment="1">
      <alignment horizontal="center" wrapText="1"/>
    </xf>
    <xf numFmtId="0" fontId="23" fillId="0" borderId="0" xfId="53" applyFont="1" applyAlignment="1">
      <alignment horizontal="center" wrapText="1"/>
    </xf>
    <xf numFmtId="0" fontId="38" fillId="0" borderId="0" xfId="25" applyFont="1" applyAlignment="1">
      <alignment horizontal="center"/>
    </xf>
    <xf numFmtId="0" fontId="17" fillId="0" borderId="1" xfId="25" applyFont="1" applyBorder="1" applyAlignment="1">
      <alignment horizontal="center" vertical="center" wrapText="1"/>
    </xf>
    <xf numFmtId="0" fontId="22" fillId="0" borderId="1" xfId="25" applyFont="1" applyBorder="1" applyAlignment="1">
      <alignment horizontal="center" vertical="center" wrapText="1"/>
    </xf>
    <xf numFmtId="0" fontId="31" fillId="3" borderId="15" xfId="25" applyFont="1" applyFill="1" applyBorder="1" applyAlignment="1">
      <alignment horizontal="center"/>
    </xf>
    <xf numFmtId="0" fontId="31" fillId="3" borderId="12" xfId="25" applyFont="1" applyFill="1" applyBorder="1" applyAlignment="1">
      <alignment horizontal="center"/>
    </xf>
    <xf numFmtId="0" fontId="31" fillId="3" borderId="9" xfId="25" applyFont="1" applyFill="1" applyBorder="1" applyAlignment="1">
      <alignment horizontal="center"/>
    </xf>
    <xf numFmtId="0" fontId="31" fillId="3" borderId="13" xfId="25" applyFont="1" applyFill="1" applyBorder="1" applyAlignment="1">
      <alignment horizontal="center"/>
    </xf>
    <xf numFmtId="0" fontId="31" fillId="3" borderId="8" xfId="25" applyFont="1" applyFill="1" applyBorder="1" applyAlignment="1">
      <alignment horizontal="center"/>
    </xf>
    <xf numFmtId="0" fontId="31" fillId="3" borderId="14" xfId="25" applyFont="1" applyFill="1" applyBorder="1" applyAlignment="1">
      <alignment horizontal="center"/>
    </xf>
    <xf numFmtId="0" fontId="22" fillId="0" borderId="2" xfId="25" applyFont="1" applyFill="1" applyBorder="1" applyAlignment="1">
      <alignment horizontal="center"/>
    </xf>
    <xf numFmtId="0" fontId="22" fillId="0" borderId="3" xfId="25" applyFont="1" applyFill="1" applyBorder="1" applyAlignment="1">
      <alignment horizontal="center"/>
    </xf>
    <xf numFmtId="0" fontId="22" fillId="0" borderId="4" xfId="25" applyFont="1" applyFill="1" applyBorder="1" applyAlignment="1">
      <alignment horizontal="center"/>
    </xf>
    <xf numFmtId="0" fontId="22" fillId="0" borderId="2" xfId="25" applyFont="1" applyBorder="1" applyAlignment="1">
      <alignment horizontal="center" vertical="center" wrapText="1"/>
    </xf>
    <xf numFmtId="0" fontId="22" fillId="0" borderId="3" xfId="25" applyFont="1" applyBorder="1" applyAlignment="1">
      <alignment horizontal="center" vertical="center" wrapText="1"/>
    </xf>
    <xf numFmtId="0" fontId="22" fillId="0" borderId="4" xfId="25" applyFont="1" applyBorder="1" applyAlignment="1">
      <alignment horizontal="center" vertical="center" wrapText="1"/>
    </xf>
    <xf numFmtId="0" fontId="17" fillId="0" borderId="2" xfId="25" applyFont="1" applyBorder="1" applyAlignment="1">
      <alignment horizontal="center" vertical="center" textRotation="90" wrapText="1"/>
    </xf>
    <xf numFmtId="0" fontId="17" fillId="0" borderId="4" xfId="25" applyFont="1" applyBorder="1" applyAlignment="1">
      <alignment horizontal="center" vertical="center" textRotation="90" wrapText="1"/>
    </xf>
    <xf numFmtId="0" fontId="31" fillId="0" borderId="2" xfId="25" applyFont="1" applyFill="1" applyBorder="1" applyAlignment="1">
      <alignment horizontal="center"/>
    </xf>
    <xf numFmtId="0" fontId="31" fillId="0" borderId="4" xfId="25" applyFont="1" applyFill="1" applyBorder="1" applyAlignment="1">
      <alignment horizontal="center"/>
    </xf>
    <xf numFmtId="0" fontId="31" fillId="0" borderId="2" xfId="25" applyFont="1" applyBorder="1" applyAlignment="1">
      <alignment horizontal="center"/>
    </xf>
    <xf numFmtId="0" fontId="31" fillId="0" borderId="4" xfId="25" applyFont="1" applyBorder="1" applyAlignment="1">
      <alignment horizontal="center"/>
    </xf>
    <xf numFmtId="0" fontId="17" fillId="4" borderId="1" xfId="25" applyFont="1" applyFill="1" applyBorder="1" applyAlignment="1">
      <alignment horizontal="center" vertical="center" wrapText="1"/>
    </xf>
    <xf numFmtId="0" fontId="31" fillId="4" borderId="1" xfId="25" applyFont="1" applyFill="1" applyBorder="1" applyAlignment="1">
      <alignment horizontal="center"/>
    </xf>
    <xf numFmtId="0" fontId="17" fillId="0" borderId="1" xfId="25" applyFont="1" applyBorder="1" applyAlignment="1">
      <alignment horizontal="center" vertical="center" textRotation="90" wrapText="1"/>
    </xf>
    <xf numFmtId="0" fontId="31" fillId="4" borderId="1" xfId="25" applyFont="1" applyFill="1" applyBorder="1" applyAlignment="1">
      <alignment horizontal="center" vertical="center" wrapText="1"/>
    </xf>
    <xf numFmtId="0" fontId="31" fillId="0" borderId="1" xfId="25" applyFont="1" applyFill="1" applyBorder="1" applyAlignment="1">
      <alignment horizontal="center"/>
    </xf>
    <xf numFmtId="0" fontId="22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39" fillId="0" borderId="0" xfId="6" applyFont="1" applyBorder="1" applyAlignment="1">
      <alignment horizontal="center" vertical="center" wrapText="1"/>
    </xf>
    <xf numFmtId="0" fontId="39" fillId="0" borderId="0" xfId="6" applyFont="1" applyAlignment="1">
      <alignment horizontal="center" vertical="center" wrapText="1"/>
    </xf>
    <xf numFmtId="0" fontId="23" fillId="0" borderId="10" xfId="43" applyFont="1" applyBorder="1" applyAlignment="1">
      <alignment horizontal="center" vertical="center" wrapText="1"/>
    </xf>
    <xf numFmtId="0" fontId="40" fillId="0" borderId="0" xfId="43" applyFont="1" applyAlignment="1">
      <alignment horizontal="center" vertical="center" wrapText="1"/>
    </xf>
    <xf numFmtId="0" fontId="30" fillId="0" borderId="6" xfId="43" applyFont="1" applyBorder="1" applyAlignment="1">
      <alignment horizontal="center" vertical="center" wrapText="1"/>
    </xf>
    <xf numFmtId="0" fontId="30" fillId="0" borderId="7" xfId="43" applyFont="1" applyBorder="1" applyAlignment="1">
      <alignment horizontal="center" vertical="center" wrapText="1"/>
    </xf>
    <xf numFmtId="0" fontId="29" fillId="0" borderId="8" xfId="43" applyFont="1" applyFill="1" applyBorder="1" applyAlignment="1">
      <alignment horizontal="center" vertical="center" wrapText="1"/>
    </xf>
    <xf numFmtId="0" fontId="29" fillId="0" borderId="5" xfId="43" applyFont="1" applyFill="1" applyBorder="1" applyAlignment="1">
      <alignment horizontal="center" vertical="center" wrapText="1"/>
    </xf>
    <xf numFmtId="0" fontId="29" fillId="0" borderId="14" xfId="43" applyFont="1" applyFill="1" applyBorder="1" applyAlignment="1">
      <alignment horizontal="center" vertical="center" wrapText="1"/>
    </xf>
    <xf numFmtId="0" fontId="20" fillId="0" borderId="0" xfId="43" applyFont="1" applyAlignment="1">
      <alignment horizontal="left" vertical="center" wrapText="1"/>
    </xf>
    <xf numFmtId="0" fontId="28" fillId="0" borderId="5" xfId="43" applyFont="1" applyBorder="1" applyAlignment="1">
      <alignment horizontal="center" vertical="center" wrapText="1"/>
    </xf>
    <xf numFmtId="0" fontId="27" fillId="0" borderId="5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2" xfId="43" applyFont="1" applyBorder="1" applyAlignment="1">
      <alignment horizontal="center" vertical="center" wrapText="1"/>
    </xf>
    <xf numFmtId="0" fontId="30" fillId="0" borderId="3" xfId="43" applyFont="1" applyBorder="1" applyAlignment="1">
      <alignment horizontal="center" vertical="center" wrapText="1"/>
    </xf>
    <xf numFmtId="0" fontId="30" fillId="0" borderId="4" xfId="43" applyFont="1" applyBorder="1" applyAlignment="1">
      <alignment horizontal="center" vertical="center" wrapText="1"/>
    </xf>
    <xf numFmtId="0" fontId="30" fillId="0" borderId="1" xfId="43" applyFont="1" applyBorder="1" applyAlignment="1">
      <alignment horizontal="center" vertical="center" wrapText="1"/>
    </xf>
    <xf numFmtId="0" fontId="16" fillId="0" borderId="0" xfId="53" applyNumberFormat="1" applyFont="1" applyBorder="1" applyAlignment="1">
      <alignment horizontal="center" wrapText="1"/>
    </xf>
    <xf numFmtId="49" fontId="17" fillId="0" borderId="2" xfId="53" applyNumberFormat="1" applyFont="1" applyBorder="1" applyAlignment="1">
      <alignment horizontal="center" vertical="center"/>
    </xf>
    <xf numFmtId="4" fontId="22" fillId="7" borderId="4" xfId="53" applyNumberFormat="1" applyFont="1" applyFill="1" applyBorder="1" applyAlignment="1">
      <alignment horizontal="center"/>
    </xf>
    <xf numFmtId="0" fontId="22" fillId="7" borderId="4" xfId="53" applyNumberFormat="1" applyFont="1" applyFill="1" applyBorder="1" applyAlignment="1">
      <alignment horizontal="center"/>
    </xf>
    <xf numFmtId="4" fontId="17" fillId="0" borderId="1" xfId="53" applyNumberFormat="1" applyFont="1" applyBorder="1" applyAlignment="1">
      <alignment horizontal="center"/>
    </xf>
    <xf numFmtId="4" fontId="17" fillId="0" borderId="4" xfId="53" applyNumberFormat="1" applyFont="1" applyBorder="1" applyAlignment="1">
      <alignment horizontal="center"/>
    </xf>
    <xf numFmtId="0" fontId="17" fillId="0" borderId="4" xfId="53" applyNumberFormat="1" applyFont="1" applyBorder="1" applyAlignment="1">
      <alignment horizontal="center"/>
    </xf>
    <xf numFmtId="49" fontId="17" fillId="0" borderId="1" xfId="53" applyNumberFormat="1" applyFont="1" applyBorder="1" applyAlignment="1">
      <alignment horizontal="center" vertical="center"/>
    </xf>
    <xf numFmtId="4" fontId="22" fillId="7" borderId="1" xfId="53" applyNumberFormat="1" applyFont="1" applyFill="1" applyBorder="1" applyAlignment="1">
      <alignment horizontal="center"/>
    </xf>
    <xf numFmtId="0" fontId="22" fillId="7" borderId="1" xfId="53" applyNumberFormat="1" applyFont="1" applyFill="1" applyBorder="1" applyAlignment="1">
      <alignment horizontal="center"/>
    </xf>
    <xf numFmtId="0" fontId="17" fillId="0" borderId="1" xfId="53" applyNumberFormat="1" applyFont="1" applyBorder="1" applyAlignment="1">
      <alignment horizontal="center"/>
    </xf>
    <xf numFmtId="0" fontId="11" fillId="0" borderId="5" xfId="51" applyFont="1" applyBorder="1" applyAlignment="1">
      <alignment horizontal="center" vertical="center"/>
    </xf>
    <xf numFmtId="0" fontId="17" fillId="0" borderId="6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7" fillId="0" borderId="1" xfId="1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8" fillId="0" borderId="0" xfId="20" applyFont="1" applyFill="1" applyBorder="1" applyAlignment="1">
      <alignment horizontal="center" vertical="center"/>
    </xf>
    <xf numFmtId="0" fontId="10" fillId="0" borderId="5" xfId="2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 wrapText="1"/>
    </xf>
    <xf numFmtId="0" fontId="10" fillId="0" borderId="1" xfId="20" applyFont="1" applyFill="1" applyBorder="1" applyAlignment="1">
      <alignment horizontal="center" vertical="center"/>
    </xf>
    <xf numFmtId="0" fontId="11" fillId="0" borderId="0" xfId="20" applyFont="1" applyFill="1" applyAlignment="1">
      <alignment horizontal="center" vertical="center"/>
    </xf>
    <xf numFmtId="0" fontId="17" fillId="0" borderId="6" xfId="5" applyFont="1" applyFill="1" applyBorder="1" applyAlignment="1">
      <alignment horizontal="center" vertical="center"/>
    </xf>
    <xf numFmtId="0" fontId="17" fillId="0" borderId="7" xfId="5" applyFont="1" applyFill="1" applyBorder="1" applyAlignment="1">
      <alignment horizontal="center" vertical="center"/>
    </xf>
    <xf numFmtId="0" fontId="17" fillId="0" borderId="1" xfId="20" applyFont="1" applyFill="1" applyBorder="1" applyAlignment="1">
      <alignment horizontal="center" vertical="center" wrapText="1"/>
    </xf>
    <xf numFmtId="0" fontId="19" fillId="0" borderId="1" xfId="2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0" fontId="39" fillId="0" borderId="1" xfId="52" applyNumberFormat="1" applyFont="1" applyFill="1" applyBorder="1" applyAlignment="1" applyProtection="1">
      <alignment horizontal="center" vertical="center" wrapText="1"/>
    </xf>
    <xf numFmtId="165" fontId="22" fillId="0" borderId="2" xfId="51" applyNumberFormat="1" applyFont="1" applyBorder="1" applyAlignment="1">
      <alignment horizontal="center" vertical="center" wrapText="1"/>
    </xf>
    <xf numFmtId="165" fontId="22" fillId="0" borderId="4" xfId="51" applyNumberFormat="1" applyFont="1" applyBorder="1" applyAlignment="1">
      <alignment horizontal="center" vertical="center" wrapText="1"/>
    </xf>
    <xf numFmtId="0" fontId="39" fillId="0" borderId="1" xfId="51" applyFont="1" applyFill="1" applyBorder="1" applyAlignment="1" applyProtection="1">
      <alignment horizontal="left" vertical="center" wrapText="1"/>
    </xf>
    <xf numFmtId="0" fontId="17" fillId="0" borderId="1" xfId="51" applyFont="1" applyFill="1" applyBorder="1" applyAlignment="1" applyProtection="1">
      <alignment horizontal="center" vertical="center" wrapText="1"/>
    </xf>
    <xf numFmtId="0" fontId="39" fillId="0" borderId="1" xfId="5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5" xfId="51" applyFont="1" applyFill="1" applyBorder="1" applyAlignment="1">
      <alignment horizontal="center" vertical="center"/>
    </xf>
    <xf numFmtId="0" fontId="17" fillId="0" borderId="6" xfId="5" applyFont="1" applyBorder="1" applyAlignment="1">
      <alignment horizontal="center"/>
    </xf>
    <xf numFmtId="0" fontId="17" fillId="0" borderId="7" xfId="5" applyFont="1" applyBorder="1" applyAlignment="1">
      <alignment horizontal="center"/>
    </xf>
    <xf numFmtId="0" fontId="17" fillId="0" borderId="3" xfId="51" applyFont="1" applyBorder="1" applyAlignment="1">
      <alignment horizontal="center" vertical="center" wrapText="1"/>
    </xf>
    <xf numFmtId="0" fontId="17" fillId="0" borderId="4" xfId="5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2" fillId="0" borderId="0" xfId="8" applyFont="1" applyFill="1" applyAlignment="1">
      <alignment horizontal="center" vertical="center" wrapText="1"/>
    </xf>
    <xf numFmtId="0" fontId="22" fillId="0" borderId="0" xfId="8" applyFont="1" applyFill="1" applyAlignment="1">
      <alignment horizontal="center" vertical="center"/>
    </xf>
    <xf numFmtId="164" fontId="10" fillId="0" borderId="2" xfId="52" applyFont="1" applyBorder="1" applyAlignment="1">
      <alignment horizontal="center" vertical="center" wrapText="1"/>
    </xf>
    <xf numFmtId="164" fontId="10" fillId="0" borderId="4" xfId="52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10" fillId="0" borderId="11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164" fontId="10" fillId="0" borderId="2" xfId="52" applyFont="1" applyBorder="1" applyAlignment="1">
      <alignment horizontal="center"/>
    </xf>
    <xf numFmtId="164" fontId="10" fillId="0" borderId="4" xfId="52" applyFont="1" applyBorder="1" applyAlignment="1">
      <alignment horizontal="center"/>
    </xf>
    <xf numFmtId="164" fontId="10" fillId="0" borderId="2" xfId="52" applyFont="1" applyBorder="1" applyAlignment="1">
      <alignment vertical="center"/>
    </xf>
    <xf numFmtId="164" fontId="10" fillId="0" borderId="4" xfId="52" applyFont="1" applyBorder="1" applyAlignment="1">
      <alignment vertical="center"/>
    </xf>
    <xf numFmtId="164" fontId="10" fillId="0" borderId="2" xfId="52" applyFont="1" applyBorder="1" applyAlignment="1">
      <alignment horizontal="center" vertical="center"/>
    </xf>
    <xf numFmtId="164" fontId="10" fillId="0" borderId="4" xfId="52" applyFont="1" applyBorder="1" applyAlignment="1">
      <alignment horizontal="center" vertical="center"/>
    </xf>
    <xf numFmtId="0" fontId="11" fillId="0" borderId="2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164" fontId="11" fillId="0" borderId="2" xfId="52" applyFont="1" applyBorder="1" applyAlignment="1">
      <alignment horizontal="center"/>
    </xf>
    <xf numFmtId="164" fontId="11" fillId="0" borderId="4" xfId="52" applyFont="1" applyBorder="1" applyAlignment="1">
      <alignment horizontal="center"/>
    </xf>
    <xf numFmtId="0" fontId="11" fillId="0" borderId="2" xfId="51" applyFont="1" applyBorder="1" applyAlignment="1">
      <alignment horizontal="center"/>
    </xf>
    <xf numFmtId="0" fontId="11" fillId="0" borderId="3" xfId="51" applyFont="1" applyBorder="1" applyAlignment="1">
      <alignment horizontal="center"/>
    </xf>
    <xf numFmtId="0" fontId="11" fillId="0" borderId="4" xfId="51" applyFont="1" applyBorder="1" applyAlignment="1">
      <alignment horizontal="center"/>
    </xf>
    <xf numFmtId="164" fontId="11" fillId="0" borderId="2" xfId="51" applyNumberFormat="1" applyFont="1" applyBorder="1" applyAlignment="1">
      <alignment horizontal="center"/>
    </xf>
    <xf numFmtId="164" fontId="11" fillId="0" borderId="4" xfId="51" applyNumberFormat="1" applyFont="1" applyBorder="1" applyAlignment="1">
      <alignment horizontal="center"/>
    </xf>
    <xf numFmtId="0" fontId="11" fillId="0" borderId="0" xfId="51" applyFont="1" applyAlignment="1">
      <alignment horizontal="center" wrapText="1"/>
    </xf>
    <xf numFmtId="0" fontId="10" fillId="0" borderId="2" xfId="51" applyFont="1" applyBorder="1" applyAlignment="1">
      <alignment horizontal="center" vertical="center"/>
    </xf>
    <xf numFmtId="0" fontId="10" fillId="0" borderId="4" xfId="51" applyFont="1" applyBorder="1" applyAlignment="1">
      <alignment horizontal="center" vertical="center"/>
    </xf>
    <xf numFmtId="0" fontId="10" fillId="0" borderId="2" xfId="51" applyFont="1" applyBorder="1" applyAlignment="1">
      <alignment horizontal="center"/>
    </xf>
    <xf numFmtId="0" fontId="10" fillId="0" borderId="4" xfId="51" applyFont="1" applyBorder="1" applyAlignment="1">
      <alignment horizontal="center"/>
    </xf>
    <xf numFmtId="0" fontId="16" fillId="7" borderId="0" xfId="5" applyNumberFormat="1" applyFont="1" applyFill="1" applyBorder="1" applyAlignment="1">
      <alignment horizontal="center" wrapText="1"/>
    </xf>
    <xf numFmtId="4" fontId="22" fillId="0" borderId="15" xfId="5" applyNumberFormat="1" applyFont="1" applyBorder="1" applyAlignment="1">
      <alignment horizontal="center"/>
    </xf>
    <xf numFmtId="0" fontId="22" fillId="0" borderId="10" xfId="5" applyNumberFormat="1" applyFont="1" applyBorder="1" applyAlignment="1">
      <alignment horizontal="center"/>
    </xf>
    <xf numFmtId="0" fontId="22" fillId="0" borderId="12" xfId="5" applyNumberFormat="1" applyFont="1" applyBorder="1" applyAlignment="1">
      <alignment horizontal="center"/>
    </xf>
    <xf numFmtId="0" fontId="22" fillId="0" borderId="8" xfId="5" applyNumberFormat="1" applyFont="1" applyBorder="1" applyAlignment="1">
      <alignment horizontal="center"/>
    </xf>
    <xf numFmtId="0" fontId="22" fillId="0" borderId="5" xfId="5" applyNumberFormat="1" applyFont="1" applyBorder="1" applyAlignment="1">
      <alignment horizontal="center"/>
    </xf>
    <xf numFmtId="0" fontId="22" fillId="0" borderId="14" xfId="5" applyNumberFormat="1" applyFont="1" applyBorder="1" applyAlignment="1">
      <alignment horizontal="center"/>
    </xf>
    <xf numFmtId="0" fontId="16" fillId="0" borderId="0" xfId="5" applyNumberFormat="1" applyFont="1" applyFill="1" applyBorder="1" applyAlignment="1">
      <alignment horizontal="center" wrapText="1"/>
    </xf>
    <xf numFmtId="0" fontId="16" fillId="10" borderId="10" xfId="5" applyNumberFormat="1" applyFont="1" applyFill="1" applyBorder="1" applyAlignment="1">
      <alignment horizontal="center" wrapText="1"/>
    </xf>
    <xf numFmtId="0" fontId="16" fillId="10" borderId="0" xfId="5" applyNumberFormat="1" applyFont="1" applyFill="1" applyBorder="1" applyAlignment="1">
      <alignment horizontal="center" wrapText="1"/>
    </xf>
    <xf numFmtId="0" fontId="49" fillId="0" borderId="0" xfId="5" applyNumberFormat="1" applyFont="1" applyBorder="1" applyAlignment="1">
      <alignment horizontal="justify" wrapText="1"/>
    </xf>
    <xf numFmtId="0" fontId="39" fillId="0" borderId="0" xfId="5" applyNumberFormat="1" applyFont="1" applyBorder="1" applyAlignment="1">
      <alignment horizontal="justify" wrapText="1"/>
    </xf>
    <xf numFmtId="1" fontId="17" fillId="0" borderId="1" xfId="5" applyNumberFormat="1" applyFont="1" applyBorder="1" applyAlignment="1">
      <alignment horizontal="center" vertical="center"/>
    </xf>
    <xf numFmtId="49" fontId="17" fillId="0" borderId="2" xfId="5" applyNumberFormat="1" applyFont="1" applyBorder="1" applyAlignment="1">
      <alignment horizontal="center" vertical="center"/>
    </xf>
    <xf numFmtId="49" fontId="17" fillId="0" borderId="3" xfId="5" applyNumberFormat="1" applyFont="1" applyBorder="1" applyAlignment="1">
      <alignment horizontal="center" vertical="center"/>
    </xf>
    <xf numFmtId="49" fontId="17" fillId="0" borderId="4" xfId="5" applyNumberFormat="1" applyFont="1" applyBorder="1" applyAlignment="1">
      <alignment horizontal="center" vertical="center"/>
    </xf>
    <xf numFmtId="0" fontId="11" fillId="0" borderId="5" xfId="5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center" vertical="center" wrapText="1"/>
    </xf>
    <xf numFmtId="0" fontId="22" fillId="0" borderId="3" xfId="5" applyFont="1" applyBorder="1" applyAlignment="1">
      <alignment horizontal="center" vertical="center" wrapText="1"/>
    </xf>
    <xf numFmtId="0" fontId="22" fillId="0" borderId="4" xfId="5" applyFont="1" applyBorder="1" applyAlignment="1">
      <alignment horizontal="center" vertical="center" wrapText="1"/>
    </xf>
    <xf numFmtId="0" fontId="11" fillId="0" borderId="0" xfId="51" applyFont="1" applyBorder="1" applyAlignment="1">
      <alignment horizontal="center"/>
    </xf>
    <xf numFmtId="0" fontId="10" fillId="0" borderId="1" xfId="51" applyFont="1" applyBorder="1" applyAlignment="1">
      <alignment horizontal="center"/>
    </xf>
    <xf numFmtId="0" fontId="10" fillId="0" borderId="3" xfId="51" applyFont="1" applyBorder="1" applyAlignment="1">
      <alignment horizontal="center"/>
    </xf>
    <xf numFmtId="0" fontId="10" fillId="0" borderId="1" xfId="51" applyFont="1" applyBorder="1" applyAlignment="1">
      <alignment horizontal="center" wrapText="1"/>
    </xf>
    <xf numFmtId="0" fontId="10" fillId="0" borderId="6" xfId="51" applyFont="1" applyBorder="1" applyAlignment="1">
      <alignment horizontal="center"/>
    </xf>
    <xf numFmtId="0" fontId="10" fillId="0" borderId="7" xfId="51" applyFont="1" applyBorder="1" applyAlignment="1">
      <alignment horizontal="center"/>
    </xf>
    <xf numFmtId="0" fontId="11" fillId="0" borderId="0" xfId="51" applyFont="1" applyAlignment="1">
      <alignment horizontal="center"/>
    </xf>
    <xf numFmtId="0" fontId="17" fillId="0" borderId="6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17" fillId="0" borderId="2" xfId="51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1" fillId="0" borderId="1" xfId="51" applyBorder="1" applyAlignment="1">
      <alignment horizontal="center"/>
    </xf>
    <xf numFmtId="0" fontId="10" fillId="0" borderId="6" xfId="51" applyFont="1" applyBorder="1" applyAlignment="1">
      <alignment horizontal="center" wrapText="1"/>
    </xf>
    <xf numFmtId="0" fontId="10" fillId="0" borderId="7" xfId="51" applyFont="1" applyBorder="1" applyAlignment="1">
      <alignment horizontal="center" wrapText="1"/>
    </xf>
    <xf numFmtId="0" fontId="17" fillId="0" borderId="1" xfId="46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49" fontId="17" fillId="0" borderId="1" xfId="46" applyNumberFormat="1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wrapText="1"/>
    </xf>
    <xf numFmtId="0" fontId="17" fillId="0" borderId="1" xfId="7" applyFont="1" applyFill="1" applyBorder="1" applyAlignment="1">
      <alignment horizontal="center"/>
    </xf>
    <xf numFmtId="0" fontId="29" fillId="0" borderId="1" xfId="23" applyFont="1" applyBorder="1" applyAlignment="1">
      <alignment horizontal="center" vertical="center" wrapText="1"/>
    </xf>
    <xf numFmtId="0" fontId="21" fillId="0" borderId="6" xfId="23" applyFont="1" applyBorder="1" applyAlignment="1">
      <alignment horizontal="center" vertical="center" wrapText="1"/>
    </xf>
    <xf numFmtId="0" fontId="21" fillId="0" borderId="11" xfId="23" applyFont="1" applyBorder="1" applyAlignment="1">
      <alignment horizontal="center" vertical="center" wrapText="1"/>
    </xf>
    <xf numFmtId="0" fontId="21" fillId="0" borderId="7" xfId="23" applyFont="1" applyBorder="1" applyAlignment="1">
      <alignment horizontal="center" vertical="center" wrapText="1"/>
    </xf>
    <xf numFmtId="0" fontId="17" fillId="0" borderId="6" xfId="23" applyFont="1" applyFill="1" applyBorder="1" applyAlignment="1">
      <alignment horizontal="center" vertical="center" wrapText="1"/>
    </xf>
    <xf numFmtId="0" fontId="17" fillId="0" borderId="11" xfId="23" applyFont="1" applyFill="1" applyBorder="1" applyAlignment="1">
      <alignment horizontal="center" vertical="center" wrapText="1"/>
    </xf>
    <xf numFmtId="0" fontId="27" fillId="0" borderId="2" xfId="23" applyFont="1" applyBorder="1" applyAlignment="1">
      <alignment horizontal="center" vertical="center" wrapText="1"/>
    </xf>
    <xf numFmtId="0" fontId="27" fillId="0" borderId="3" xfId="23" applyFont="1" applyBorder="1" applyAlignment="1">
      <alignment horizontal="center" vertical="center" wrapText="1"/>
    </xf>
    <xf numFmtId="0" fontId="29" fillId="0" borderId="6" xfId="23" applyFont="1" applyFill="1" applyBorder="1" applyAlignment="1">
      <alignment horizontal="center" vertical="center" wrapText="1"/>
    </xf>
    <xf numFmtId="0" fontId="29" fillId="0" borderId="11" xfId="23" applyFont="1" applyFill="1" applyBorder="1" applyAlignment="1">
      <alignment horizontal="center" vertical="center" wrapText="1"/>
    </xf>
    <xf numFmtId="0" fontId="29" fillId="0" borderId="7" xfId="23" applyFont="1" applyFill="1" applyBorder="1" applyAlignment="1">
      <alignment horizontal="center" vertical="center" wrapText="1"/>
    </xf>
    <xf numFmtId="0" fontId="27" fillId="0" borderId="5" xfId="23" applyFont="1" applyBorder="1" applyAlignment="1">
      <alignment horizontal="center" vertical="center" wrapText="1"/>
    </xf>
    <xf numFmtId="0" fontId="27" fillId="0" borderId="0" xfId="23" applyFont="1" applyBorder="1" applyAlignment="1">
      <alignment horizontal="center" vertical="center" wrapText="1"/>
    </xf>
    <xf numFmtId="0" fontId="29" fillId="2" borderId="1" xfId="23" applyFont="1" applyFill="1" applyBorder="1" applyAlignment="1">
      <alignment horizontal="center" vertical="center" wrapText="1"/>
    </xf>
    <xf numFmtId="0" fontId="29" fillId="0" borderId="1" xfId="23" applyFont="1" applyFill="1" applyBorder="1" applyAlignment="1">
      <alignment horizontal="center" vertical="center" wrapText="1"/>
    </xf>
  </cellXfs>
  <cellStyles count="58">
    <cellStyle name="Гиперссылка" xfId="44" builtinId="8"/>
    <cellStyle name="Денежный 2" xfId="52" xr:uid="{00000000-0005-0000-0000-000001000000}"/>
    <cellStyle name="Обычный" xfId="0" builtinId="0"/>
    <cellStyle name="Обычный 10" xfId="43" xr:uid="{00000000-0005-0000-0000-000003000000}"/>
    <cellStyle name="Обычный 11" xfId="51" xr:uid="{00000000-0005-0000-0000-000004000000}"/>
    <cellStyle name="Обычный 2" xfId="5" xr:uid="{00000000-0005-0000-0000-000005000000}"/>
    <cellStyle name="Обычный 2 2" xfId="6" xr:uid="{00000000-0005-0000-0000-000006000000}"/>
    <cellStyle name="Обычный 2 2 2" xfId="47" xr:uid="{00000000-0005-0000-0000-000007000000}"/>
    <cellStyle name="Обычный 2 3" xfId="29" xr:uid="{00000000-0005-0000-0000-000008000000}"/>
    <cellStyle name="Обычный 2 4" xfId="45" xr:uid="{00000000-0005-0000-0000-000009000000}"/>
    <cellStyle name="Обычный 3" xfId="7" xr:uid="{00000000-0005-0000-0000-00000A000000}"/>
    <cellStyle name="Обычный 3 2" xfId="8" xr:uid="{00000000-0005-0000-0000-00000B000000}"/>
    <cellStyle name="Обычный 3 3" xfId="48" xr:uid="{00000000-0005-0000-0000-00000C000000}"/>
    <cellStyle name="Обычный 3 4" xfId="53" xr:uid="{00000000-0005-0000-0000-00000D000000}"/>
    <cellStyle name="Обычный 4" xfId="2" xr:uid="{00000000-0005-0000-0000-00000E000000}"/>
    <cellStyle name="Обычный 5" xfId="9" xr:uid="{00000000-0005-0000-0000-00000F000000}"/>
    <cellStyle name="Обычный 6" xfId="17" xr:uid="{00000000-0005-0000-0000-000010000000}"/>
    <cellStyle name="Обычный 6 2" xfId="39" xr:uid="{00000000-0005-0000-0000-000011000000}"/>
    <cellStyle name="Обычный 6 3" xfId="34" xr:uid="{00000000-0005-0000-0000-000012000000}"/>
    <cellStyle name="Обычный 6 4" xfId="49" xr:uid="{00000000-0005-0000-0000-000013000000}"/>
    <cellStyle name="Обычный 7" xfId="18" xr:uid="{00000000-0005-0000-0000-000014000000}"/>
    <cellStyle name="Обычный 7 2" xfId="40" xr:uid="{00000000-0005-0000-0000-000015000000}"/>
    <cellStyle name="Обычный 7 3" xfId="35" xr:uid="{00000000-0005-0000-0000-000016000000}"/>
    <cellStyle name="Обычный 8" xfId="20" xr:uid="{00000000-0005-0000-0000-000017000000}"/>
    <cellStyle name="Обычный 8 2" xfId="31" xr:uid="{00000000-0005-0000-0000-000018000000}"/>
    <cellStyle name="Обычный 8 3" xfId="54" xr:uid="{00000000-0005-0000-0000-000019000000}"/>
    <cellStyle name="Обычный 9" xfId="23" xr:uid="{00000000-0005-0000-0000-00001A000000}"/>
    <cellStyle name="Обычный 9 2" xfId="55" xr:uid="{00000000-0005-0000-0000-00001B000000}"/>
    <cellStyle name="Обычный_2009 доп расчеты" xfId="10" xr:uid="{00000000-0005-0000-0000-00001C000000}"/>
    <cellStyle name="Обычный_контингент 2008-2009 уч.год общее образование в разрезе классов" xfId="25" xr:uid="{00000000-0005-0000-0000-00001D000000}"/>
    <cellStyle name="Обычный_лагеря" xfId="46" xr:uid="{00000000-0005-0000-0000-00001E000000}"/>
    <cellStyle name="Обычный_Лист3" xfId="11" xr:uid="{00000000-0005-0000-0000-00001F000000}"/>
    <cellStyle name="Финансовый" xfId="1" builtinId="3"/>
    <cellStyle name="Финансовый 10" xfId="30" xr:uid="{00000000-0005-0000-0000-000021000000}"/>
    <cellStyle name="Финансовый 2" xfId="4" xr:uid="{00000000-0005-0000-0000-000022000000}"/>
    <cellStyle name="Финансовый 2 2" xfId="12" xr:uid="{00000000-0005-0000-0000-000023000000}"/>
    <cellStyle name="Финансовый 2 2 2" xfId="50" xr:uid="{00000000-0005-0000-0000-000024000000}"/>
    <cellStyle name="Финансовый 2 3" xfId="28" xr:uid="{00000000-0005-0000-0000-000025000000}"/>
    <cellStyle name="Финансовый 2 3 2" xfId="37" xr:uid="{00000000-0005-0000-0000-000026000000}"/>
    <cellStyle name="Финансовый 2 4" xfId="32" xr:uid="{00000000-0005-0000-0000-000027000000}"/>
    <cellStyle name="Финансовый 3" xfId="13" xr:uid="{00000000-0005-0000-0000-000028000000}"/>
    <cellStyle name="Финансовый 3 2" xfId="14" xr:uid="{00000000-0005-0000-0000-000029000000}"/>
    <cellStyle name="Финансовый 3 3" xfId="15" xr:uid="{00000000-0005-0000-0000-00002A000000}"/>
    <cellStyle name="Финансовый 4" xfId="3" xr:uid="{00000000-0005-0000-0000-00002B000000}"/>
    <cellStyle name="Финансовый 4 2" xfId="27" xr:uid="{00000000-0005-0000-0000-00002C000000}"/>
    <cellStyle name="Финансовый 5" xfId="16" xr:uid="{00000000-0005-0000-0000-00002D000000}"/>
    <cellStyle name="Финансовый 5 2" xfId="22" xr:uid="{00000000-0005-0000-0000-00002E000000}"/>
    <cellStyle name="Финансовый 5 2 2" xfId="38" xr:uid="{00000000-0005-0000-0000-00002F000000}"/>
    <cellStyle name="Финансовый 5 3" xfId="33" xr:uid="{00000000-0005-0000-0000-000030000000}"/>
    <cellStyle name="Финансовый 6" xfId="19" xr:uid="{00000000-0005-0000-0000-000031000000}"/>
    <cellStyle name="Финансовый 6 2" xfId="41" xr:uid="{00000000-0005-0000-0000-000032000000}"/>
    <cellStyle name="Финансовый 6 3" xfId="36" xr:uid="{00000000-0005-0000-0000-000033000000}"/>
    <cellStyle name="Финансовый 7" xfId="21" xr:uid="{00000000-0005-0000-0000-000034000000}"/>
    <cellStyle name="Финансовый 7 2" xfId="42" xr:uid="{00000000-0005-0000-0000-000035000000}"/>
    <cellStyle name="Финансовый 7 3" xfId="56" xr:uid="{00000000-0005-0000-0000-000036000000}"/>
    <cellStyle name="Финансовый 8" xfId="24" xr:uid="{00000000-0005-0000-0000-000037000000}"/>
    <cellStyle name="Финансовый 9" xfId="26" xr:uid="{00000000-0005-0000-0000-000038000000}"/>
    <cellStyle name="Финансовый 9 2" xfId="57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1;&#1040;&#1053;%20&#1060;&#1061;&#1044;\2020\&#1064;&#1050;&#1054;&#1051;&#1067;\&#1055;&#1083;&#1072;&#1085;%20&#1060;&#1061;&#1044;\&#1096;&#1082;.%20&#1040;&#1085;&#1076;&#1077;&#1075;\+&#1043;&#1041;&#1054;&#1059;%20&#1040;&#1085;&#1076;&#1077;&#1075;%2001.01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"/>
      <sheetName val="таблица 1"/>
      <sheetName val="таблица 2 (старый)"/>
      <sheetName val="Расчеты ГЗ"/>
      <sheetName val="Расчеты (Иные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1460F08528B62F4BA0D53473343AEAC1B2A180FEF5A24C17E72BD441B6978A3EF2248B8EC6598595E167900FC4aDkCL" TargetMode="External"/><Relationship Id="rId7" Type="http://schemas.openxmlformats.org/officeDocument/2006/relationships/hyperlink" Target="consultantplus://offline/ref=1460F08528B62F4BA0D53473343AEAC1B2A084FAF9AE4C17E72BD441B6978A3EF2248B8EC6598595E167900FC4aDkCL" TargetMode="External"/><Relationship Id="rId2" Type="http://schemas.openxmlformats.org/officeDocument/2006/relationships/hyperlink" Target="consultantplus://offline/ref=1460F08528B62F4BA0D53473343AEAC1B2A082FAF9AB4C17E72BD441B6978A3EE024D380C5559D9FB728D65AC8D7C0431BB269398E21a9k5L" TargetMode="External"/><Relationship Id="rId1" Type="http://schemas.openxmlformats.org/officeDocument/2006/relationships/hyperlink" Target="consultantplus://offline/ref=1460F08528B62F4BA0D53473343AEAC1B2A180FEF5A24C17E72BD441B6978A3EF2248B8EC6598595E167900FC4aDkCL" TargetMode="External"/><Relationship Id="rId6" Type="http://schemas.openxmlformats.org/officeDocument/2006/relationships/hyperlink" Target="consultantplus://offline/ref=1460F08528B62F4BA0D53473343AEAC1B2A084FAF9AE4C17E72BD441B6978A3EF2248B8EC6598595E167900FC4aDkCL" TargetMode="External"/><Relationship Id="rId5" Type="http://schemas.openxmlformats.org/officeDocument/2006/relationships/hyperlink" Target="consultantplus://offline/ref=1460F08528B62F4BA0D53473343AEAC1B2A180FEF5A24C17E72BD441B6978A3EF2248B8EC6598595E167900FC4aDkCL" TargetMode="External"/><Relationship Id="rId4" Type="http://schemas.openxmlformats.org/officeDocument/2006/relationships/hyperlink" Target="consultantplus://offline/ref=1460F08528B62F4BA0D53473343AEAC1B2A180FEF5A24C17E72BD441B6978A3EF2248B8EC6598595E167900FC4aDkC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B8AE1035D0937AEEB77C3FBFF6CDC688C588254FBD6896A3CFC51150518F457BB7E7D169A15B06272B44A970D18E71FFFF2514E073F56077REEAN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57"/>
  <sheetViews>
    <sheetView tabSelected="1" view="pageBreakPreview" zoomScaleNormal="100" zoomScaleSheetLayoutView="100" workbookViewId="0"/>
  </sheetViews>
  <sheetFormatPr defaultColWidth="0.85546875" defaultRowHeight="15" x14ac:dyDescent="0.25"/>
  <cols>
    <col min="1" max="50" width="0.85546875" style="151"/>
    <col min="51" max="51" width="1" style="151" customWidth="1"/>
    <col min="52" max="306" width="0.85546875" style="151"/>
    <col min="307" max="307" width="1" style="151" customWidth="1"/>
    <col min="308" max="562" width="0.85546875" style="151"/>
    <col min="563" max="563" width="1" style="151" customWidth="1"/>
    <col min="564" max="818" width="0.85546875" style="151"/>
    <col min="819" max="819" width="1" style="151" customWidth="1"/>
    <col min="820" max="1074" width="0.85546875" style="151"/>
    <col min="1075" max="1075" width="1" style="151" customWidth="1"/>
    <col min="1076" max="1330" width="0.85546875" style="151"/>
    <col min="1331" max="1331" width="1" style="151" customWidth="1"/>
    <col min="1332" max="1586" width="0.85546875" style="151"/>
    <col min="1587" max="1587" width="1" style="151" customWidth="1"/>
    <col min="1588" max="1842" width="0.85546875" style="151"/>
    <col min="1843" max="1843" width="1" style="151" customWidth="1"/>
    <col min="1844" max="2098" width="0.85546875" style="151"/>
    <col min="2099" max="2099" width="1" style="151" customWidth="1"/>
    <col min="2100" max="2354" width="0.85546875" style="151"/>
    <col min="2355" max="2355" width="1" style="151" customWidth="1"/>
    <col min="2356" max="2610" width="0.85546875" style="151"/>
    <col min="2611" max="2611" width="1" style="151" customWidth="1"/>
    <col min="2612" max="2866" width="0.85546875" style="151"/>
    <col min="2867" max="2867" width="1" style="151" customWidth="1"/>
    <col min="2868" max="3122" width="0.85546875" style="151"/>
    <col min="3123" max="3123" width="1" style="151" customWidth="1"/>
    <col min="3124" max="3378" width="0.85546875" style="151"/>
    <col min="3379" max="3379" width="1" style="151" customWidth="1"/>
    <col min="3380" max="3634" width="0.85546875" style="151"/>
    <col min="3635" max="3635" width="1" style="151" customWidth="1"/>
    <col min="3636" max="3890" width="0.85546875" style="151"/>
    <col min="3891" max="3891" width="1" style="151" customWidth="1"/>
    <col min="3892" max="4146" width="0.85546875" style="151"/>
    <col min="4147" max="4147" width="1" style="151" customWidth="1"/>
    <col min="4148" max="4402" width="0.85546875" style="151"/>
    <col min="4403" max="4403" width="1" style="151" customWidth="1"/>
    <col min="4404" max="4658" width="0.85546875" style="151"/>
    <col min="4659" max="4659" width="1" style="151" customWidth="1"/>
    <col min="4660" max="4914" width="0.85546875" style="151"/>
    <col min="4915" max="4915" width="1" style="151" customWidth="1"/>
    <col min="4916" max="5170" width="0.85546875" style="151"/>
    <col min="5171" max="5171" width="1" style="151" customWidth="1"/>
    <col min="5172" max="5426" width="0.85546875" style="151"/>
    <col min="5427" max="5427" width="1" style="151" customWidth="1"/>
    <col min="5428" max="5682" width="0.85546875" style="151"/>
    <col min="5683" max="5683" width="1" style="151" customWidth="1"/>
    <col min="5684" max="5938" width="0.85546875" style="151"/>
    <col min="5939" max="5939" width="1" style="151" customWidth="1"/>
    <col min="5940" max="6194" width="0.85546875" style="151"/>
    <col min="6195" max="6195" width="1" style="151" customWidth="1"/>
    <col min="6196" max="6450" width="0.85546875" style="151"/>
    <col min="6451" max="6451" width="1" style="151" customWidth="1"/>
    <col min="6452" max="6706" width="0.85546875" style="151"/>
    <col min="6707" max="6707" width="1" style="151" customWidth="1"/>
    <col min="6708" max="6962" width="0.85546875" style="151"/>
    <col min="6963" max="6963" width="1" style="151" customWidth="1"/>
    <col min="6964" max="7218" width="0.85546875" style="151"/>
    <col min="7219" max="7219" width="1" style="151" customWidth="1"/>
    <col min="7220" max="7474" width="0.85546875" style="151"/>
    <col min="7475" max="7475" width="1" style="151" customWidth="1"/>
    <col min="7476" max="7730" width="0.85546875" style="151"/>
    <col min="7731" max="7731" width="1" style="151" customWidth="1"/>
    <col min="7732" max="7986" width="0.85546875" style="151"/>
    <col min="7987" max="7987" width="1" style="151" customWidth="1"/>
    <col min="7988" max="8242" width="0.85546875" style="151"/>
    <col min="8243" max="8243" width="1" style="151" customWidth="1"/>
    <col min="8244" max="8498" width="0.85546875" style="151"/>
    <col min="8499" max="8499" width="1" style="151" customWidth="1"/>
    <col min="8500" max="8754" width="0.85546875" style="151"/>
    <col min="8755" max="8755" width="1" style="151" customWidth="1"/>
    <col min="8756" max="9010" width="0.85546875" style="151"/>
    <col min="9011" max="9011" width="1" style="151" customWidth="1"/>
    <col min="9012" max="9266" width="0.85546875" style="151"/>
    <col min="9267" max="9267" width="1" style="151" customWidth="1"/>
    <col min="9268" max="9522" width="0.85546875" style="151"/>
    <col min="9523" max="9523" width="1" style="151" customWidth="1"/>
    <col min="9524" max="9778" width="0.85546875" style="151"/>
    <col min="9779" max="9779" width="1" style="151" customWidth="1"/>
    <col min="9780" max="10034" width="0.85546875" style="151"/>
    <col min="10035" max="10035" width="1" style="151" customWidth="1"/>
    <col min="10036" max="10290" width="0.85546875" style="151"/>
    <col min="10291" max="10291" width="1" style="151" customWidth="1"/>
    <col min="10292" max="10546" width="0.85546875" style="151"/>
    <col min="10547" max="10547" width="1" style="151" customWidth="1"/>
    <col min="10548" max="10802" width="0.85546875" style="151"/>
    <col min="10803" max="10803" width="1" style="151" customWidth="1"/>
    <col min="10804" max="11058" width="0.85546875" style="151"/>
    <col min="11059" max="11059" width="1" style="151" customWidth="1"/>
    <col min="11060" max="11314" width="0.85546875" style="151"/>
    <col min="11315" max="11315" width="1" style="151" customWidth="1"/>
    <col min="11316" max="11570" width="0.85546875" style="151"/>
    <col min="11571" max="11571" width="1" style="151" customWidth="1"/>
    <col min="11572" max="11826" width="0.85546875" style="151"/>
    <col min="11827" max="11827" width="1" style="151" customWidth="1"/>
    <col min="11828" max="12082" width="0.85546875" style="151"/>
    <col min="12083" max="12083" width="1" style="151" customWidth="1"/>
    <col min="12084" max="12338" width="0.85546875" style="151"/>
    <col min="12339" max="12339" width="1" style="151" customWidth="1"/>
    <col min="12340" max="12594" width="0.85546875" style="151"/>
    <col min="12595" max="12595" width="1" style="151" customWidth="1"/>
    <col min="12596" max="12850" width="0.85546875" style="151"/>
    <col min="12851" max="12851" width="1" style="151" customWidth="1"/>
    <col min="12852" max="13106" width="0.85546875" style="151"/>
    <col min="13107" max="13107" width="1" style="151" customWidth="1"/>
    <col min="13108" max="13362" width="0.85546875" style="151"/>
    <col min="13363" max="13363" width="1" style="151" customWidth="1"/>
    <col min="13364" max="13618" width="0.85546875" style="151"/>
    <col min="13619" max="13619" width="1" style="151" customWidth="1"/>
    <col min="13620" max="13874" width="0.85546875" style="151"/>
    <col min="13875" max="13875" width="1" style="151" customWidth="1"/>
    <col min="13876" max="14130" width="0.85546875" style="151"/>
    <col min="14131" max="14131" width="1" style="151" customWidth="1"/>
    <col min="14132" max="14386" width="0.85546875" style="151"/>
    <col min="14387" max="14387" width="1" style="151" customWidth="1"/>
    <col min="14388" max="14642" width="0.85546875" style="151"/>
    <col min="14643" max="14643" width="1" style="151" customWidth="1"/>
    <col min="14644" max="14898" width="0.85546875" style="151"/>
    <col min="14899" max="14899" width="1" style="151" customWidth="1"/>
    <col min="14900" max="15154" width="0.85546875" style="151"/>
    <col min="15155" max="15155" width="1" style="151" customWidth="1"/>
    <col min="15156" max="15410" width="0.85546875" style="151"/>
    <col min="15411" max="15411" width="1" style="151" customWidth="1"/>
    <col min="15412" max="15666" width="0.85546875" style="151"/>
    <col min="15667" max="15667" width="1" style="151" customWidth="1"/>
    <col min="15668" max="15922" width="0.85546875" style="151"/>
    <col min="15923" max="15923" width="1" style="151" customWidth="1"/>
    <col min="15924" max="16178" width="0.85546875" style="151"/>
    <col min="16179" max="16179" width="1" style="151" customWidth="1"/>
    <col min="16180" max="16384" width="0.85546875" style="151"/>
  </cols>
  <sheetData>
    <row r="1" spans="1:108" s="139" customFormat="1" ht="1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</row>
    <row r="2" spans="1:108" s="139" customFormat="1" ht="15.75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40"/>
      <c r="AT2" s="140"/>
      <c r="AU2" s="140"/>
      <c r="AV2" s="140"/>
      <c r="AW2" s="140"/>
      <c r="AX2" s="140"/>
      <c r="AY2" s="140"/>
      <c r="AZ2" s="140"/>
      <c r="BI2" s="554" t="s">
        <v>228</v>
      </c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</row>
    <row r="3" spans="1:108" s="139" customFormat="1" ht="1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1" t="s">
        <v>937</v>
      </c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</row>
    <row r="4" spans="1:108" s="139" customFormat="1" ht="12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2" t="s">
        <v>229</v>
      </c>
    </row>
    <row r="5" spans="1:108" s="139" customFormat="1" ht="1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3" t="s">
        <v>942</v>
      </c>
      <c r="AV5" s="503"/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</row>
    <row r="6" spans="1:108" s="139" customFormat="1" ht="12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2" t="s">
        <v>230</v>
      </c>
    </row>
    <row r="7" spans="1:108" s="139" customFormat="1" ht="15.75" customHeight="1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40"/>
      <c r="AT7" s="504"/>
      <c r="AU7" s="504"/>
      <c r="AV7" s="504"/>
      <c r="AW7" s="504"/>
      <c r="AX7" s="504"/>
      <c r="AY7" s="504"/>
      <c r="AZ7" s="504"/>
      <c r="BA7" s="505"/>
      <c r="BB7" s="505"/>
      <c r="BC7" s="505"/>
      <c r="BD7" s="505"/>
      <c r="BE7" s="505"/>
      <c r="BF7" s="505"/>
      <c r="BG7" s="505"/>
      <c r="BH7" s="505"/>
      <c r="BI7" s="506"/>
      <c r="BJ7" s="506"/>
      <c r="BK7" s="506"/>
      <c r="BL7" s="506"/>
      <c r="BM7" s="506"/>
      <c r="BN7" s="506"/>
      <c r="BO7" s="506"/>
      <c r="BP7" s="506"/>
      <c r="BQ7" s="498"/>
      <c r="BR7" s="557" t="s">
        <v>941</v>
      </c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</row>
    <row r="8" spans="1:108" s="139" customFormat="1" ht="12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I8" s="144" t="s">
        <v>231</v>
      </c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4"/>
    </row>
    <row r="9" spans="1:108" s="139" customFormat="1" ht="15.75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40"/>
      <c r="AT9" s="140"/>
      <c r="AU9" s="140"/>
      <c r="AV9" s="140"/>
      <c r="AW9" s="140"/>
      <c r="AX9" s="140"/>
      <c r="AY9" s="140"/>
      <c r="AZ9" s="140"/>
      <c r="BI9" s="498"/>
      <c r="BJ9" s="498"/>
      <c r="BK9" s="498"/>
      <c r="BL9" s="498"/>
      <c r="BM9" s="498"/>
      <c r="BN9" s="498"/>
      <c r="BO9" s="498"/>
      <c r="BP9" s="498"/>
      <c r="BQ9" s="498"/>
      <c r="BR9" s="498"/>
      <c r="BS9" s="498"/>
      <c r="BT9" s="498"/>
      <c r="BU9" s="498"/>
      <c r="BV9" s="498"/>
      <c r="BW9" s="498"/>
      <c r="BX9" s="498"/>
      <c r="BY9" s="498"/>
      <c r="BZ9" s="498"/>
      <c r="CA9" s="498"/>
      <c r="CB9" s="498"/>
      <c r="CC9" s="498"/>
      <c r="CD9" s="498"/>
      <c r="CE9" s="498"/>
      <c r="CF9" s="498"/>
      <c r="CG9" s="498"/>
      <c r="CH9" s="498"/>
      <c r="CI9" s="498"/>
      <c r="CJ9" s="498"/>
      <c r="CK9" s="498"/>
      <c r="CL9" s="498"/>
      <c r="CM9" s="498"/>
      <c r="CN9" s="498"/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143"/>
    </row>
    <row r="10" spans="1:108" s="139" customFormat="1" ht="15.75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40"/>
      <c r="AT10" s="140"/>
      <c r="AU10" s="140"/>
      <c r="AV10" s="140"/>
      <c r="AW10" s="140"/>
      <c r="AX10" s="140"/>
      <c r="AY10" s="140"/>
      <c r="AZ10" s="140"/>
      <c r="BI10" s="498"/>
      <c r="BJ10" s="498"/>
      <c r="BK10" s="498"/>
      <c r="BL10" s="498"/>
      <c r="BM10" s="498"/>
      <c r="BN10" s="498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498"/>
      <c r="BZ10" s="498"/>
      <c r="CA10" s="498"/>
      <c r="CB10" s="498"/>
      <c r="CC10" s="498"/>
      <c r="CD10" s="498"/>
      <c r="CE10" s="498"/>
      <c r="CF10" s="498"/>
      <c r="CG10" s="498"/>
      <c r="CH10" s="498"/>
      <c r="CI10" s="498"/>
      <c r="CJ10" s="498"/>
      <c r="CK10" s="498"/>
      <c r="CL10" s="498"/>
      <c r="CM10" s="498"/>
      <c r="CN10" s="498"/>
      <c r="CO10" s="498"/>
      <c r="CP10" s="498"/>
      <c r="CQ10" s="498"/>
      <c r="CR10" s="498"/>
      <c r="CS10" s="498"/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143" t="s">
        <v>232</v>
      </c>
    </row>
    <row r="11" spans="1:108" s="139" customForma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40"/>
      <c r="AT11" s="140"/>
      <c r="AU11" s="140"/>
      <c r="AV11" s="140"/>
      <c r="AW11" s="140"/>
      <c r="AX11" s="140"/>
      <c r="AY11" s="140"/>
      <c r="AZ11" s="140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</row>
    <row r="12" spans="1:108" s="148" customFormat="1" x14ac:dyDescent="0.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147"/>
      <c r="AU12" s="147"/>
      <c r="AV12" s="147"/>
      <c r="AW12" s="147"/>
      <c r="AX12" s="147"/>
      <c r="AY12" s="147"/>
      <c r="AZ12" s="147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</row>
    <row r="13" spans="1:108" s="139" customFormat="1" ht="12.75" customHeight="1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40"/>
      <c r="AT13" s="140"/>
      <c r="AU13" s="140"/>
      <c r="AV13" s="140"/>
      <c r="AW13" s="140"/>
      <c r="AX13" s="140"/>
      <c r="AY13" s="140"/>
      <c r="AZ13" s="140"/>
      <c r="BM13" s="150"/>
    </row>
    <row r="14" spans="1:108" s="139" customFormat="1" ht="15.75" customHeigh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40"/>
      <c r="AT14" s="140"/>
      <c r="AU14" s="140"/>
      <c r="AV14" s="140"/>
      <c r="AW14" s="140"/>
      <c r="AX14" s="140"/>
      <c r="AY14" s="140"/>
      <c r="AZ14" s="140"/>
      <c r="BM14" s="150"/>
    </row>
    <row r="15" spans="1:108" s="139" customFormat="1" ht="11.25" customHeight="1" x14ac:dyDescent="0.2">
      <c r="BM15" s="150"/>
    </row>
    <row r="16" spans="1:108" s="139" customFormat="1" ht="11.25" customHeight="1" x14ac:dyDescent="0.2">
      <c r="BM16" s="150"/>
    </row>
    <row r="17" spans="1:108" s="139" customFormat="1" ht="11.25" customHeight="1" x14ac:dyDescent="0.2">
      <c r="BM17" s="150"/>
    </row>
    <row r="18" spans="1:108" ht="9.75" customHeight="1" x14ac:dyDescent="0.25">
      <c r="N18" s="139"/>
    </row>
    <row r="19" spans="1:108" ht="15.75" x14ac:dyDescent="0.25">
      <c r="A19" s="555" t="s">
        <v>233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/>
      <c r="AT19" s="555"/>
      <c r="AU19" s="555"/>
      <c r="AV19" s="555"/>
      <c r="AW19" s="555"/>
      <c r="AX19" s="555"/>
      <c r="AY19" s="555"/>
      <c r="AZ19" s="555"/>
      <c r="BA19" s="555"/>
      <c r="BB19" s="555"/>
      <c r="BC19" s="555"/>
      <c r="BD19" s="555"/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5"/>
      <c r="BR19" s="555"/>
      <c r="BS19" s="555"/>
      <c r="BT19" s="555"/>
      <c r="BU19" s="555"/>
      <c r="BV19" s="555"/>
      <c r="BW19" s="555"/>
      <c r="BX19" s="555"/>
      <c r="BY19" s="555"/>
      <c r="BZ19" s="555"/>
      <c r="CA19" s="555"/>
      <c r="CB19" s="555"/>
      <c r="CC19" s="555"/>
      <c r="CD19" s="555"/>
      <c r="CE19" s="555"/>
      <c r="CF19" s="555"/>
      <c r="CG19" s="555"/>
      <c r="CH19" s="555"/>
      <c r="CI19" s="555"/>
      <c r="CJ19" s="555"/>
      <c r="CK19" s="555"/>
      <c r="CL19" s="555"/>
      <c r="CM19" s="555"/>
      <c r="CN19" s="555"/>
      <c r="CO19" s="555"/>
      <c r="CP19" s="555"/>
      <c r="CQ19" s="555"/>
      <c r="CR19" s="555"/>
      <c r="CS19" s="555"/>
      <c r="CT19" s="555"/>
      <c r="CU19" s="555"/>
      <c r="CV19" s="555"/>
      <c r="CW19" s="555"/>
      <c r="CX19" s="555"/>
      <c r="CY19" s="555"/>
      <c r="CZ19" s="555"/>
      <c r="DA19" s="555"/>
      <c r="DB19" s="555"/>
      <c r="DC19" s="555"/>
      <c r="DD19" s="555"/>
    </row>
    <row r="20" spans="1:108" s="152" customFormat="1" ht="16.5" x14ac:dyDescent="0.25">
      <c r="A20" s="556" t="s">
        <v>939</v>
      </c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6"/>
      <c r="CO20" s="556"/>
      <c r="CP20" s="556"/>
      <c r="CQ20" s="556"/>
      <c r="CR20" s="556"/>
      <c r="CS20" s="556"/>
      <c r="CT20" s="556"/>
      <c r="CU20" s="556"/>
      <c r="CV20" s="556"/>
      <c r="CW20" s="556"/>
      <c r="CX20" s="556"/>
      <c r="CY20" s="556"/>
      <c r="CZ20" s="556"/>
      <c r="DA20" s="556"/>
      <c r="DB20" s="556"/>
      <c r="DC20" s="556"/>
      <c r="DD20" s="556"/>
    </row>
    <row r="21" spans="1:108" x14ac:dyDescent="0.25">
      <c r="A21" s="553" t="s">
        <v>940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  <c r="AC21" s="553"/>
      <c r="AD21" s="553"/>
      <c r="AE21" s="553"/>
      <c r="AF21" s="553"/>
      <c r="AG21" s="553"/>
      <c r="AH21" s="553"/>
      <c r="AI21" s="553"/>
      <c r="AJ21" s="553"/>
      <c r="AK21" s="553"/>
      <c r="AL21" s="553"/>
      <c r="AM21" s="553"/>
      <c r="AN21" s="553"/>
      <c r="AO21" s="553"/>
      <c r="AP21" s="553"/>
      <c r="AQ21" s="553"/>
      <c r="AR21" s="553"/>
      <c r="AS21" s="553"/>
      <c r="AT21" s="553"/>
      <c r="AU21" s="553"/>
      <c r="AV21" s="553"/>
      <c r="AW21" s="553"/>
      <c r="AX21" s="553"/>
      <c r="AY21" s="553"/>
      <c r="AZ21" s="553"/>
      <c r="BA21" s="553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553"/>
      <c r="BR21" s="553"/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</row>
    <row r="22" spans="1:108" ht="17.25" customHeight="1" x14ac:dyDescent="0.25">
      <c r="CO22" s="558" t="s">
        <v>234</v>
      </c>
      <c r="CP22" s="558"/>
      <c r="CQ22" s="558"/>
      <c r="CR22" s="558"/>
      <c r="CS22" s="558"/>
      <c r="CT22" s="558"/>
      <c r="CU22" s="558"/>
      <c r="CV22" s="558"/>
      <c r="CW22" s="558"/>
      <c r="CX22" s="558"/>
      <c r="CY22" s="558"/>
      <c r="CZ22" s="558"/>
      <c r="DA22" s="558"/>
      <c r="DB22" s="558"/>
      <c r="DC22" s="558"/>
      <c r="DD22" s="558"/>
    </row>
    <row r="23" spans="1:108" ht="15" customHeight="1" x14ac:dyDescent="0.25">
      <c r="CM23" s="153" t="s">
        <v>235</v>
      </c>
      <c r="CO23" s="538"/>
      <c r="CP23" s="539"/>
      <c r="CQ23" s="539"/>
      <c r="CR23" s="539"/>
      <c r="CS23" s="539"/>
      <c r="CT23" s="539"/>
      <c r="CU23" s="539"/>
      <c r="CV23" s="539"/>
      <c r="CW23" s="539"/>
      <c r="CX23" s="539"/>
      <c r="CY23" s="539"/>
      <c r="CZ23" s="539"/>
      <c r="DA23" s="539"/>
      <c r="DB23" s="539"/>
      <c r="DC23" s="539"/>
      <c r="DD23" s="540"/>
    </row>
    <row r="24" spans="1:108" ht="15" customHeight="1" x14ac:dyDescent="0.25">
      <c r="AJ24" s="154"/>
      <c r="AK24" s="155" t="s">
        <v>236</v>
      </c>
      <c r="AL24" s="559" t="s">
        <v>965</v>
      </c>
      <c r="AM24" s="559"/>
      <c r="AN24" s="559"/>
      <c r="AO24" s="559"/>
      <c r="AP24" s="154" t="s">
        <v>236</v>
      </c>
      <c r="AQ24" s="154"/>
      <c r="AR24" s="154"/>
      <c r="AS24" s="559" t="s">
        <v>966</v>
      </c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60">
        <v>20</v>
      </c>
      <c r="BL24" s="560"/>
      <c r="BM24" s="560"/>
      <c r="BN24" s="560"/>
      <c r="BO24" s="561" t="s">
        <v>936</v>
      </c>
      <c r="BP24" s="561"/>
      <c r="BQ24" s="561"/>
      <c r="BR24" s="561"/>
      <c r="BS24" s="154" t="s">
        <v>237</v>
      </c>
      <c r="BT24" s="154"/>
      <c r="BU24" s="154"/>
      <c r="BY24" s="156"/>
      <c r="CM24" s="153" t="s">
        <v>238</v>
      </c>
      <c r="CO24" s="538" t="s">
        <v>967</v>
      </c>
      <c r="CP24" s="539"/>
      <c r="CQ24" s="539"/>
      <c r="CR24" s="539"/>
      <c r="CS24" s="539"/>
      <c r="CT24" s="539"/>
      <c r="CU24" s="539"/>
      <c r="CV24" s="539"/>
      <c r="CW24" s="539"/>
      <c r="CX24" s="539"/>
      <c r="CY24" s="539"/>
      <c r="CZ24" s="539"/>
      <c r="DA24" s="539"/>
      <c r="DB24" s="539"/>
      <c r="DC24" s="539"/>
      <c r="DD24" s="540"/>
    </row>
    <row r="25" spans="1:108" ht="15" customHeight="1" x14ac:dyDescent="0.25">
      <c r="BY25" s="156"/>
      <c r="BZ25" s="156"/>
      <c r="CM25" s="153"/>
      <c r="CO25" s="538"/>
      <c r="CP25" s="539"/>
      <c r="CQ25" s="539"/>
      <c r="CR25" s="539"/>
      <c r="CS25" s="539"/>
      <c r="CT25" s="539"/>
      <c r="CU25" s="539"/>
      <c r="CV25" s="539"/>
      <c r="CW25" s="539"/>
      <c r="CX25" s="539"/>
      <c r="CY25" s="539"/>
      <c r="CZ25" s="539"/>
      <c r="DA25" s="539"/>
      <c r="DB25" s="539"/>
      <c r="DC25" s="539"/>
      <c r="DD25" s="540"/>
    </row>
    <row r="26" spans="1:108" ht="15" customHeight="1" x14ac:dyDescent="0.25">
      <c r="BY26" s="156"/>
      <c r="BZ26" s="156"/>
      <c r="CM26" s="153"/>
      <c r="CO26" s="538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39"/>
      <c r="DB26" s="539"/>
      <c r="DC26" s="539"/>
      <c r="DD26" s="540"/>
    </row>
    <row r="27" spans="1:108" ht="27" customHeight="1" x14ac:dyDescent="0.25">
      <c r="A27" s="551" t="s">
        <v>938</v>
      </c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/>
      <c r="BR27" s="551"/>
      <c r="BS27" s="551"/>
      <c r="BT27" s="551"/>
      <c r="BU27" s="551"/>
      <c r="BV27" s="551"/>
      <c r="BW27" s="551"/>
      <c r="BX27" s="551"/>
      <c r="BY27" s="551"/>
      <c r="BZ27" s="551"/>
      <c r="CA27" s="551"/>
      <c r="CM27" s="153" t="s">
        <v>159</v>
      </c>
      <c r="CO27" s="538" t="s">
        <v>943</v>
      </c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39"/>
      <c r="DB27" s="539"/>
      <c r="DC27" s="539"/>
      <c r="DD27" s="540"/>
    </row>
    <row r="28" spans="1:108" ht="27" customHeight="1" x14ac:dyDescent="0.25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  <c r="BU28" s="552"/>
      <c r="BV28" s="552"/>
      <c r="BW28" s="552"/>
      <c r="BX28" s="552"/>
      <c r="BY28" s="552"/>
      <c r="BZ28" s="552"/>
      <c r="CA28" s="552"/>
      <c r="CM28" s="158"/>
      <c r="CO28" s="538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39"/>
      <c r="DB28" s="539"/>
      <c r="DC28" s="539"/>
      <c r="DD28" s="540"/>
    </row>
    <row r="29" spans="1:108" ht="11.25" customHeight="1" x14ac:dyDescent="0.25">
      <c r="A29" s="541" t="s">
        <v>239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541"/>
      <c r="BN29" s="541"/>
      <c r="BO29" s="541"/>
      <c r="BP29" s="541"/>
      <c r="BQ29" s="541"/>
      <c r="BR29" s="541"/>
      <c r="BS29" s="541"/>
      <c r="BT29" s="541"/>
      <c r="BU29" s="541"/>
      <c r="BV29" s="541"/>
      <c r="BW29" s="541"/>
      <c r="BX29" s="541"/>
      <c r="BY29" s="541"/>
      <c r="BZ29" s="157"/>
      <c r="CM29" s="158"/>
      <c r="CO29" s="538"/>
      <c r="CP29" s="539"/>
      <c r="CQ29" s="539"/>
      <c r="CR29" s="539"/>
      <c r="CS29" s="539"/>
      <c r="CT29" s="539"/>
      <c r="CU29" s="539"/>
      <c r="CV29" s="539"/>
      <c r="CW29" s="539"/>
      <c r="CX29" s="539"/>
      <c r="CY29" s="539"/>
      <c r="CZ29" s="539"/>
      <c r="DA29" s="539"/>
      <c r="DB29" s="539"/>
      <c r="DC29" s="539"/>
      <c r="DD29" s="540"/>
    </row>
    <row r="30" spans="1:108" ht="18.95" customHeight="1" x14ac:dyDescent="0.25"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Y30" s="156"/>
      <c r="BZ30" s="156"/>
      <c r="CM30" s="153"/>
      <c r="CO30" s="542"/>
      <c r="CP30" s="543"/>
      <c r="CQ30" s="543"/>
      <c r="CR30" s="543"/>
      <c r="CS30" s="543"/>
      <c r="CT30" s="543"/>
      <c r="CU30" s="543"/>
      <c r="CV30" s="543"/>
      <c r="CW30" s="543"/>
      <c r="CX30" s="543"/>
      <c r="CY30" s="543"/>
      <c r="CZ30" s="543"/>
      <c r="DA30" s="543"/>
      <c r="DB30" s="543"/>
      <c r="DC30" s="543"/>
      <c r="DD30" s="544"/>
    </row>
    <row r="31" spans="1:108" s="161" customFormat="1" ht="18.95" customHeight="1" x14ac:dyDescent="0.25">
      <c r="A31" s="160" t="s">
        <v>240</v>
      </c>
      <c r="X31" s="545" t="s">
        <v>944</v>
      </c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5"/>
      <c r="BG31" s="545"/>
      <c r="BH31" s="545"/>
      <c r="BI31" s="545"/>
      <c r="BJ31" s="545"/>
      <c r="BK31" s="545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CM31" s="163"/>
      <c r="CO31" s="546"/>
      <c r="CP31" s="547"/>
      <c r="CQ31" s="547"/>
      <c r="CR31" s="547"/>
      <c r="CS31" s="547"/>
      <c r="CT31" s="547"/>
      <c r="CU31" s="547"/>
      <c r="CV31" s="547"/>
      <c r="CW31" s="547"/>
      <c r="CX31" s="547"/>
      <c r="CY31" s="547"/>
      <c r="CZ31" s="547"/>
      <c r="DA31" s="547"/>
      <c r="DB31" s="547"/>
      <c r="DC31" s="547"/>
      <c r="DD31" s="548"/>
    </row>
    <row r="32" spans="1:108" s="161" customFormat="1" ht="16.5" customHeight="1" x14ac:dyDescent="0.25">
      <c r="A32" s="164" t="s">
        <v>241</v>
      </c>
      <c r="B32" s="160"/>
      <c r="CM32" s="165" t="s">
        <v>242</v>
      </c>
      <c r="CO32" s="546" t="s">
        <v>243</v>
      </c>
      <c r="CP32" s="547"/>
      <c r="CQ32" s="547"/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8"/>
    </row>
    <row r="33" spans="1:108" s="161" customFormat="1" ht="3" customHeight="1" x14ac:dyDescent="0.25">
      <c r="A33" s="166"/>
      <c r="BX33" s="166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</row>
    <row r="34" spans="1:108" ht="33" customHeight="1" x14ac:dyDescent="0.25">
      <c r="A34" s="549" t="s">
        <v>244</v>
      </c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49"/>
      <c r="BV34" s="549"/>
      <c r="BW34" s="549"/>
      <c r="BX34" s="549"/>
      <c r="BY34" s="549"/>
      <c r="BZ34" s="168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</row>
    <row r="35" spans="1:108" ht="12" customHeight="1" x14ac:dyDescent="0.25">
      <c r="A35" s="532" t="s">
        <v>245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2"/>
      <c r="BN35" s="532"/>
      <c r="BO35" s="532"/>
      <c r="BP35" s="532"/>
      <c r="BQ35" s="532"/>
      <c r="BR35" s="532"/>
      <c r="BS35" s="532"/>
      <c r="BT35" s="532"/>
      <c r="BU35" s="532"/>
      <c r="BV35" s="532"/>
      <c r="BW35" s="532"/>
      <c r="BX35" s="532"/>
      <c r="BY35" s="532"/>
      <c r="BZ35" s="168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</row>
    <row r="36" spans="1:108" x14ac:dyDescent="0.25">
      <c r="A36" s="343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70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2"/>
      <c r="CP36" s="172"/>
      <c r="CQ36" s="172"/>
      <c r="CR36" s="172"/>
      <c r="CS36" s="172"/>
      <c r="CT36" s="172"/>
      <c r="CU36" s="172"/>
      <c r="CV36" s="172"/>
    </row>
    <row r="37" spans="1:108" ht="27.75" customHeight="1" x14ac:dyDescent="0.25">
      <c r="A37" s="550" t="s">
        <v>945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173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</row>
    <row r="38" spans="1:108" ht="13.5" customHeight="1" x14ac:dyDescent="0.25">
      <c r="A38" s="532" t="s">
        <v>246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2"/>
      <c r="BE38" s="532"/>
      <c r="BF38" s="532"/>
      <c r="BG38" s="532"/>
      <c r="BH38" s="532"/>
      <c r="BI38" s="532"/>
      <c r="BJ38" s="532"/>
      <c r="BK38" s="532"/>
      <c r="BL38" s="532"/>
      <c r="BM38" s="532"/>
      <c r="BN38" s="532"/>
      <c r="BO38" s="532"/>
      <c r="BP38" s="532"/>
      <c r="BQ38" s="532"/>
      <c r="BR38" s="532"/>
      <c r="BS38" s="532"/>
      <c r="BT38" s="532"/>
      <c r="BU38" s="532"/>
      <c r="BV38" s="532"/>
      <c r="BW38" s="532"/>
      <c r="BX38" s="532"/>
      <c r="BY38" s="532"/>
      <c r="BZ38" s="173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</row>
    <row r="39" spans="1:108" x14ac:dyDescent="0.25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</row>
    <row r="40" spans="1:108" x14ac:dyDescent="0.25">
      <c r="A40" s="535" t="s">
        <v>247</v>
      </c>
      <c r="B40" s="535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  <c r="AH40" s="535"/>
      <c r="AI40" s="535"/>
      <c r="AJ40" s="535"/>
      <c r="AK40" s="535"/>
      <c r="AL40" s="535"/>
      <c r="AM40" s="535"/>
      <c r="AN40" s="535"/>
      <c r="AO40" s="535"/>
      <c r="AP40" s="535"/>
      <c r="AQ40" s="535"/>
      <c r="AR40" s="535"/>
      <c r="AS40" s="535"/>
      <c r="AT40" s="535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35"/>
      <c r="BT40" s="535"/>
      <c r="BU40" s="535"/>
      <c r="BV40" s="535"/>
      <c r="BW40" s="535"/>
      <c r="BX40" s="535"/>
      <c r="BY40" s="535"/>
      <c r="BZ40" s="535"/>
      <c r="CA40" s="535"/>
      <c r="CB40" s="535"/>
      <c r="CC40" s="535"/>
      <c r="CD40" s="535"/>
      <c r="CE40" s="535"/>
      <c r="CF40" s="535"/>
      <c r="CG40" s="535"/>
      <c r="CH40" s="535"/>
      <c r="CI40" s="535"/>
      <c r="CJ40" s="535"/>
      <c r="CK40" s="535"/>
      <c r="CL40" s="535"/>
      <c r="CM40" s="535"/>
      <c r="CN40" s="535"/>
      <c r="CO40" s="535"/>
      <c r="CP40" s="535"/>
      <c r="CQ40" s="535"/>
      <c r="CR40" s="535"/>
      <c r="CS40" s="535"/>
      <c r="CT40" s="535"/>
      <c r="CU40" s="535"/>
      <c r="CV40" s="535"/>
      <c r="CW40" s="535"/>
      <c r="CX40" s="535"/>
      <c r="CY40" s="535"/>
      <c r="CZ40" s="535"/>
      <c r="DA40" s="535"/>
      <c r="DB40" s="535"/>
      <c r="DC40" s="535"/>
      <c r="DD40" s="535"/>
    </row>
    <row r="41" spans="1:108" x14ac:dyDescent="0.25">
      <c r="A41" s="534" t="s">
        <v>248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</row>
    <row r="42" spans="1:108" ht="31.5" customHeight="1" x14ac:dyDescent="0.25">
      <c r="A42" s="533" t="s">
        <v>728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3"/>
      <c r="BB42" s="533"/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3"/>
      <c r="BQ42" s="533"/>
      <c r="BR42" s="533"/>
      <c r="BS42" s="533"/>
      <c r="BT42" s="533"/>
      <c r="BU42" s="533"/>
      <c r="BV42" s="533"/>
      <c r="BW42" s="533"/>
      <c r="BX42" s="533"/>
      <c r="BY42" s="533"/>
      <c r="BZ42" s="533"/>
      <c r="CA42" s="533"/>
      <c r="CB42" s="533"/>
      <c r="CC42" s="533"/>
      <c r="CD42" s="533"/>
      <c r="CE42" s="533"/>
      <c r="CF42" s="533"/>
      <c r="CG42" s="533"/>
      <c r="CH42" s="533"/>
      <c r="CI42" s="533"/>
      <c r="CJ42" s="533"/>
      <c r="CK42" s="533"/>
      <c r="CL42" s="533"/>
      <c r="CM42" s="533"/>
      <c r="CN42" s="533"/>
      <c r="CO42" s="533"/>
      <c r="CP42" s="533"/>
      <c r="CQ42" s="533"/>
      <c r="CR42" s="533"/>
      <c r="CS42" s="533"/>
      <c r="CT42" s="533"/>
      <c r="CU42" s="533"/>
      <c r="CV42" s="533"/>
      <c r="CW42" s="533"/>
      <c r="CX42" s="533"/>
      <c r="CY42" s="533"/>
      <c r="CZ42" s="533"/>
      <c r="DA42" s="533"/>
      <c r="DB42" s="533"/>
      <c r="DC42" s="533"/>
      <c r="DD42" s="533"/>
    </row>
    <row r="43" spans="1:108" ht="15" customHeight="1" x14ac:dyDescent="0.25">
      <c r="A43" s="534" t="s">
        <v>249</v>
      </c>
      <c r="B43" s="534"/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</row>
    <row r="44" spans="1:108" x14ac:dyDescent="0.25">
      <c r="A44" s="536" t="s">
        <v>729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36"/>
      <c r="AC44" s="536"/>
      <c r="AD44" s="536"/>
      <c r="AE44" s="536"/>
      <c r="AF44" s="536"/>
      <c r="AG44" s="536"/>
      <c r="AH44" s="536"/>
      <c r="AI44" s="536"/>
      <c r="AJ44" s="536"/>
      <c r="AK44" s="536"/>
      <c r="AL44" s="536"/>
      <c r="AM44" s="536"/>
      <c r="AN44" s="536"/>
      <c r="AO44" s="536"/>
      <c r="AP44" s="536"/>
      <c r="AQ44" s="536"/>
      <c r="AR44" s="536"/>
      <c r="AS44" s="536"/>
      <c r="AT44" s="536"/>
      <c r="AU44" s="536"/>
      <c r="AV44" s="536"/>
      <c r="AW44" s="536"/>
      <c r="AX44" s="536"/>
      <c r="AY44" s="536"/>
      <c r="AZ44" s="536"/>
      <c r="BA44" s="536"/>
      <c r="BB44" s="536"/>
      <c r="BC44" s="536"/>
      <c r="BD44" s="536"/>
      <c r="BE44" s="536"/>
      <c r="BF44" s="536"/>
      <c r="BG44" s="536"/>
      <c r="BH44" s="536"/>
      <c r="BI44" s="536"/>
      <c r="BJ44" s="536"/>
      <c r="BK44" s="536"/>
      <c r="BL44" s="536"/>
      <c r="BM44" s="536"/>
      <c r="BN44" s="536"/>
      <c r="BO44" s="536"/>
      <c r="BP44" s="536"/>
      <c r="BQ44" s="536"/>
      <c r="BR44" s="536"/>
      <c r="BS44" s="536"/>
      <c r="BT44" s="536"/>
      <c r="BU44" s="536"/>
      <c r="BV44" s="536"/>
      <c r="BW44" s="536"/>
      <c r="BX44" s="536"/>
      <c r="BY44" s="536"/>
      <c r="BZ44" s="536"/>
      <c r="CA44" s="536"/>
      <c r="CB44" s="536"/>
      <c r="CC44" s="536"/>
      <c r="CD44" s="536"/>
      <c r="CE44" s="536"/>
      <c r="CF44" s="536"/>
      <c r="CG44" s="536"/>
      <c r="CH44" s="536"/>
      <c r="CI44" s="536"/>
      <c r="CJ44" s="536"/>
      <c r="CK44" s="536"/>
      <c r="CL44" s="536"/>
      <c r="CM44" s="536"/>
      <c r="CN44" s="536"/>
      <c r="CO44" s="536"/>
      <c r="CP44" s="536"/>
      <c r="CQ44" s="536"/>
      <c r="CR44" s="536"/>
      <c r="CS44" s="536"/>
      <c r="CT44" s="536"/>
      <c r="CU44" s="536"/>
      <c r="CV44" s="536"/>
      <c r="CW44" s="536"/>
      <c r="CX44" s="536"/>
      <c r="CY44" s="536"/>
      <c r="CZ44" s="536"/>
      <c r="DA44" s="536"/>
      <c r="DB44" s="536"/>
      <c r="DC44" s="536"/>
      <c r="DD44" s="536"/>
    </row>
    <row r="45" spans="1:108" x14ac:dyDescent="0.25">
      <c r="A45" s="536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  <c r="AE45" s="536"/>
      <c r="AF45" s="536"/>
      <c r="AG45" s="536"/>
      <c r="AH45" s="536"/>
      <c r="AI45" s="536"/>
      <c r="AJ45" s="536"/>
      <c r="AK45" s="536"/>
      <c r="AL45" s="536"/>
      <c r="AM45" s="536"/>
      <c r="AN45" s="536"/>
      <c r="AO45" s="536"/>
      <c r="AP45" s="536"/>
      <c r="AQ45" s="536"/>
      <c r="AR45" s="536"/>
      <c r="AS45" s="536"/>
      <c r="AT45" s="536"/>
      <c r="AU45" s="536"/>
      <c r="AV45" s="536"/>
      <c r="AW45" s="536"/>
      <c r="AX45" s="536"/>
      <c r="AY45" s="536"/>
      <c r="AZ45" s="536"/>
      <c r="BA45" s="536"/>
      <c r="BB45" s="536"/>
      <c r="BC45" s="536"/>
      <c r="BD45" s="536"/>
      <c r="BE45" s="536"/>
      <c r="BF45" s="536"/>
      <c r="BG45" s="536"/>
      <c r="BH45" s="536"/>
      <c r="BI45" s="536"/>
      <c r="BJ45" s="536"/>
      <c r="BK45" s="536"/>
      <c r="BL45" s="536"/>
      <c r="BM45" s="536"/>
      <c r="BN45" s="536"/>
      <c r="BO45" s="536"/>
      <c r="BP45" s="536"/>
      <c r="BQ45" s="536"/>
      <c r="BR45" s="536"/>
      <c r="BS45" s="536"/>
      <c r="BT45" s="536"/>
      <c r="BU45" s="536"/>
      <c r="BV45" s="536"/>
      <c r="BW45" s="536"/>
      <c r="BX45" s="536"/>
      <c r="BY45" s="536"/>
      <c r="BZ45" s="536"/>
      <c r="CA45" s="536"/>
      <c r="CB45" s="536"/>
      <c r="CC45" s="536"/>
      <c r="CD45" s="536"/>
      <c r="CE45" s="536"/>
      <c r="CF45" s="536"/>
      <c r="CG45" s="536"/>
      <c r="CH45" s="536"/>
      <c r="CI45" s="536"/>
      <c r="CJ45" s="536"/>
      <c r="CK45" s="536"/>
      <c r="CL45" s="536"/>
      <c r="CM45" s="536"/>
      <c r="CN45" s="536"/>
      <c r="CO45" s="536"/>
      <c r="CP45" s="536"/>
      <c r="CQ45" s="536"/>
      <c r="CR45" s="536"/>
      <c r="CS45" s="536"/>
      <c r="CT45" s="536"/>
      <c r="CU45" s="536"/>
      <c r="CV45" s="536"/>
      <c r="CW45" s="536"/>
      <c r="CX45" s="536"/>
      <c r="CY45" s="536"/>
      <c r="CZ45" s="536"/>
      <c r="DA45" s="536"/>
      <c r="DB45" s="536"/>
      <c r="DC45" s="536"/>
      <c r="DD45" s="536"/>
    </row>
    <row r="46" spans="1:108" x14ac:dyDescent="0.25">
      <c r="A46" s="534" t="s">
        <v>250</v>
      </c>
      <c r="B46" s="534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  <c r="CY46" s="534"/>
      <c r="CZ46" s="534"/>
      <c r="DA46" s="534"/>
      <c r="DB46" s="534"/>
      <c r="DC46" s="534"/>
      <c r="DD46" s="534"/>
    </row>
    <row r="47" spans="1:108" x14ac:dyDescent="0.25">
      <c r="A47" s="533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7"/>
      <c r="BC47" s="537"/>
      <c r="BD47" s="537"/>
      <c r="BE47" s="537"/>
      <c r="BF47" s="537"/>
      <c r="BG47" s="537"/>
      <c r="BH47" s="537"/>
      <c r="BI47" s="537"/>
      <c r="BJ47" s="537"/>
      <c r="BK47" s="537"/>
      <c r="BL47" s="537"/>
      <c r="BM47" s="537"/>
      <c r="BN47" s="537"/>
      <c r="BO47" s="537"/>
      <c r="BP47" s="537"/>
      <c r="BQ47" s="537"/>
      <c r="BR47" s="537"/>
      <c r="BS47" s="537"/>
      <c r="BT47" s="537"/>
      <c r="BU47" s="537"/>
      <c r="BV47" s="537"/>
      <c r="BW47" s="537"/>
      <c r="BX47" s="537"/>
      <c r="BY47" s="537"/>
      <c r="BZ47" s="537"/>
      <c r="CA47" s="537"/>
      <c r="CB47" s="537"/>
      <c r="CC47" s="537"/>
      <c r="CD47" s="537"/>
      <c r="CE47" s="537"/>
      <c r="CF47" s="537"/>
      <c r="CG47" s="537"/>
      <c r="CH47" s="537"/>
      <c r="CI47" s="537"/>
      <c r="CJ47" s="537"/>
      <c r="CK47" s="537"/>
      <c r="CL47" s="537"/>
      <c r="CM47" s="537"/>
      <c r="CN47" s="537"/>
      <c r="CO47" s="537"/>
      <c r="CP47" s="537"/>
      <c r="CQ47" s="537"/>
      <c r="CR47" s="537"/>
      <c r="CS47" s="537"/>
      <c r="CT47" s="537"/>
      <c r="CU47" s="537"/>
      <c r="CV47" s="537"/>
      <c r="CW47" s="537"/>
      <c r="CX47" s="537"/>
      <c r="CY47" s="537"/>
      <c r="CZ47" s="537"/>
      <c r="DA47" s="537"/>
      <c r="DB47" s="537"/>
      <c r="DC47" s="537"/>
      <c r="DD47" s="537"/>
    </row>
    <row r="48" spans="1:108" ht="30" customHeight="1" x14ac:dyDescent="0.25">
      <c r="A48" s="537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7"/>
      <c r="BS48" s="537"/>
      <c r="BT48" s="537"/>
      <c r="BU48" s="537"/>
      <c r="BV48" s="537"/>
      <c r="BW48" s="537"/>
      <c r="BX48" s="537"/>
      <c r="BY48" s="537"/>
      <c r="BZ48" s="537"/>
      <c r="CA48" s="537"/>
      <c r="CB48" s="537"/>
      <c r="CC48" s="537"/>
      <c r="CD48" s="537"/>
      <c r="CE48" s="537"/>
      <c r="CF48" s="537"/>
      <c r="CG48" s="537"/>
      <c r="CH48" s="537"/>
      <c r="CI48" s="537"/>
      <c r="CJ48" s="537"/>
      <c r="CK48" s="537"/>
      <c r="CL48" s="537"/>
      <c r="CM48" s="537"/>
      <c r="CN48" s="537"/>
      <c r="CO48" s="537"/>
      <c r="CP48" s="537"/>
      <c r="CQ48" s="537"/>
      <c r="CR48" s="537"/>
      <c r="CS48" s="537"/>
      <c r="CT48" s="537"/>
      <c r="CU48" s="537"/>
      <c r="CV48" s="537"/>
      <c r="CW48" s="537"/>
      <c r="CX48" s="537"/>
      <c r="CY48" s="537"/>
      <c r="CZ48" s="537"/>
      <c r="DA48" s="537"/>
      <c r="DB48" s="537"/>
      <c r="DC48" s="537"/>
      <c r="DD48" s="537"/>
    </row>
    <row r="49" spans="1:108" ht="15" hidden="1" customHeight="1" x14ac:dyDescent="0.2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537"/>
      <c r="CG49" s="537"/>
      <c r="CH49" s="537"/>
      <c r="CI49" s="537"/>
      <c r="CJ49" s="537"/>
      <c r="CK49" s="537"/>
      <c r="CL49" s="537"/>
      <c r="CM49" s="537"/>
      <c r="CN49" s="537"/>
      <c r="CO49" s="537"/>
      <c r="CP49" s="537"/>
      <c r="CQ49" s="537"/>
      <c r="CR49" s="537"/>
      <c r="CS49" s="537"/>
      <c r="CT49" s="537"/>
      <c r="CU49" s="537"/>
      <c r="CV49" s="537"/>
      <c r="CW49" s="537"/>
      <c r="CX49" s="537"/>
      <c r="CY49" s="537"/>
      <c r="CZ49" s="537"/>
      <c r="DA49" s="537"/>
      <c r="DB49" s="537"/>
      <c r="DC49" s="537"/>
      <c r="DD49" s="537"/>
    </row>
    <row r="50" spans="1:108" ht="15" hidden="1" customHeight="1" x14ac:dyDescent="0.25">
      <c r="A50" s="537"/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7"/>
      <c r="BS50" s="537"/>
      <c r="BT50" s="537"/>
      <c r="BU50" s="537"/>
      <c r="BV50" s="537"/>
      <c r="BW50" s="537"/>
      <c r="BX50" s="537"/>
      <c r="BY50" s="537"/>
      <c r="BZ50" s="537"/>
      <c r="CA50" s="537"/>
      <c r="CB50" s="537"/>
      <c r="CC50" s="537"/>
      <c r="CD50" s="537"/>
      <c r="CE50" s="537"/>
      <c r="CF50" s="537"/>
      <c r="CG50" s="537"/>
      <c r="CH50" s="537"/>
      <c r="CI50" s="537"/>
      <c r="CJ50" s="537"/>
      <c r="CK50" s="537"/>
      <c r="CL50" s="537"/>
      <c r="CM50" s="537"/>
      <c r="CN50" s="537"/>
      <c r="CO50" s="537"/>
      <c r="CP50" s="537"/>
      <c r="CQ50" s="537"/>
      <c r="CR50" s="537"/>
      <c r="CS50" s="537"/>
      <c r="CT50" s="537"/>
      <c r="CU50" s="537"/>
      <c r="CV50" s="537"/>
      <c r="CW50" s="537"/>
      <c r="CX50" s="537"/>
      <c r="CY50" s="537"/>
      <c r="CZ50" s="537"/>
      <c r="DA50" s="537"/>
      <c r="DB50" s="537"/>
      <c r="DC50" s="537"/>
      <c r="DD50" s="537"/>
    </row>
    <row r="51" spans="1:108" ht="15" hidden="1" customHeight="1" x14ac:dyDescent="0.25">
      <c r="A51" s="537"/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  <c r="AY51" s="537"/>
      <c r="AZ51" s="537"/>
      <c r="BA51" s="537"/>
      <c r="BB51" s="537"/>
      <c r="BC51" s="537"/>
      <c r="BD51" s="537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537"/>
      <c r="BR51" s="537"/>
      <c r="BS51" s="537"/>
      <c r="BT51" s="537"/>
      <c r="BU51" s="537"/>
      <c r="BV51" s="537"/>
      <c r="BW51" s="537"/>
      <c r="BX51" s="537"/>
      <c r="BY51" s="537"/>
      <c r="BZ51" s="537"/>
      <c r="CA51" s="537"/>
      <c r="CB51" s="537"/>
      <c r="CC51" s="537"/>
      <c r="CD51" s="537"/>
      <c r="CE51" s="537"/>
      <c r="CF51" s="537"/>
      <c r="CG51" s="537"/>
      <c r="CH51" s="537"/>
      <c r="CI51" s="537"/>
      <c r="CJ51" s="537"/>
      <c r="CK51" s="537"/>
      <c r="CL51" s="537"/>
      <c r="CM51" s="537"/>
      <c r="CN51" s="537"/>
      <c r="CO51" s="537"/>
      <c r="CP51" s="537"/>
      <c r="CQ51" s="537"/>
      <c r="CR51" s="537"/>
      <c r="CS51" s="537"/>
      <c r="CT51" s="537"/>
      <c r="CU51" s="537"/>
      <c r="CV51" s="537"/>
      <c r="CW51" s="537"/>
      <c r="CX51" s="537"/>
      <c r="CY51" s="537"/>
      <c r="CZ51" s="537"/>
      <c r="DA51" s="537"/>
      <c r="DB51" s="537"/>
      <c r="DC51" s="537"/>
      <c r="DD51" s="537"/>
    </row>
    <row r="52" spans="1:108" ht="15" hidden="1" customHeight="1" x14ac:dyDescent="0.25">
      <c r="A52" s="537"/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7"/>
      <c r="BS52" s="537"/>
      <c r="BT52" s="537"/>
      <c r="BU52" s="537"/>
      <c r="BV52" s="537"/>
      <c r="BW52" s="537"/>
      <c r="BX52" s="537"/>
      <c r="BY52" s="537"/>
      <c r="BZ52" s="537"/>
      <c r="CA52" s="537"/>
      <c r="CB52" s="537"/>
      <c r="CC52" s="537"/>
      <c r="CD52" s="537"/>
      <c r="CE52" s="537"/>
      <c r="CF52" s="537"/>
      <c r="CG52" s="537"/>
      <c r="CH52" s="537"/>
      <c r="CI52" s="537"/>
      <c r="CJ52" s="537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</row>
    <row r="53" spans="1:108" ht="15" hidden="1" customHeight="1" x14ac:dyDescent="0.25">
      <c r="A53" s="537"/>
      <c r="B53" s="537"/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</row>
    <row r="54" spans="1:108" ht="15" hidden="1" customHeight="1" x14ac:dyDescent="0.25">
      <c r="A54" s="537"/>
      <c r="B54" s="537"/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/>
      <c r="AP54" s="537"/>
      <c r="AQ54" s="537"/>
      <c r="AR54" s="537"/>
      <c r="AS54" s="537"/>
      <c r="AT54" s="537"/>
      <c r="AU54" s="537"/>
      <c r="AV54" s="537"/>
      <c r="AW54" s="537"/>
      <c r="AX54" s="537"/>
      <c r="AY54" s="537"/>
      <c r="AZ54" s="537"/>
      <c r="BA54" s="537"/>
      <c r="BB54" s="537"/>
      <c r="BC54" s="537"/>
      <c r="BD54" s="537"/>
      <c r="BE54" s="537"/>
      <c r="BF54" s="537"/>
      <c r="BG54" s="537"/>
      <c r="BH54" s="537"/>
      <c r="BI54" s="537"/>
      <c r="BJ54" s="537"/>
      <c r="BK54" s="537"/>
      <c r="BL54" s="537"/>
      <c r="BM54" s="537"/>
      <c r="BN54" s="537"/>
      <c r="BO54" s="537"/>
      <c r="BP54" s="537"/>
      <c r="BQ54" s="537"/>
      <c r="BR54" s="537"/>
      <c r="BS54" s="537"/>
      <c r="BT54" s="537"/>
      <c r="BU54" s="537"/>
      <c r="BV54" s="537"/>
      <c r="BW54" s="537"/>
      <c r="BX54" s="537"/>
      <c r="BY54" s="537"/>
      <c r="BZ54" s="537"/>
      <c r="CA54" s="537"/>
      <c r="CB54" s="537"/>
      <c r="CC54" s="537"/>
      <c r="CD54" s="537"/>
      <c r="CE54" s="537"/>
      <c r="CF54" s="537"/>
      <c r="CG54" s="537"/>
      <c r="CH54" s="537"/>
      <c r="CI54" s="537"/>
      <c r="CJ54" s="537"/>
      <c r="CK54" s="537"/>
      <c r="CL54" s="537"/>
      <c r="CM54" s="537"/>
      <c r="CN54" s="537"/>
      <c r="CO54" s="537"/>
      <c r="CP54" s="537"/>
      <c r="CQ54" s="537"/>
      <c r="CR54" s="537"/>
      <c r="CS54" s="537"/>
      <c r="CT54" s="537"/>
      <c r="CU54" s="537"/>
      <c r="CV54" s="537"/>
      <c r="CW54" s="537"/>
      <c r="CX54" s="537"/>
      <c r="CY54" s="537"/>
      <c r="CZ54" s="537"/>
      <c r="DA54" s="537"/>
      <c r="DB54" s="537"/>
      <c r="DC54" s="537"/>
      <c r="DD54" s="537"/>
    </row>
    <row r="55" spans="1:108" ht="15" hidden="1" customHeight="1" x14ac:dyDescent="0.25">
      <c r="A55" s="537"/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N55" s="537"/>
      <c r="AO55" s="537"/>
      <c r="AP55" s="537"/>
      <c r="AQ55" s="537"/>
      <c r="AR55" s="537"/>
      <c r="AS55" s="537"/>
      <c r="AT55" s="537"/>
      <c r="AU55" s="537"/>
      <c r="AV55" s="537"/>
      <c r="AW55" s="537"/>
      <c r="AX55" s="537"/>
      <c r="AY55" s="537"/>
      <c r="AZ55" s="537"/>
      <c r="BA55" s="537"/>
      <c r="BB55" s="537"/>
      <c r="BC55" s="537"/>
      <c r="BD55" s="537"/>
      <c r="BE55" s="537"/>
      <c r="BF55" s="537"/>
      <c r="BG55" s="537"/>
      <c r="BH55" s="537"/>
      <c r="BI55" s="537"/>
      <c r="BJ55" s="537"/>
      <c r="BK55" s="537"/>
      <c r="BL55" s="537"/>
      <c r="BM55" s="537"/>
      <c r="BN55" s="537"/>
      <c r="BO55" s="537"/>
      <c r="BP55" s="537"/>
      <c r="BQ55" s="537"/>
      <c r="BR55" s="537"/>
      <c r="BS55" s="537"/>
      <c r="BT55" s="537"/>
      <c r="BU55" s="537"/>
      <c r="BV55" s="537"/>
      <c r="BW55" s="537"/>
      <c r="BX55" s="537"/>
      <c r="BY55" s="537"/>
      <c r="BZ55" s="537"/>
      <c r="CA55" s="537"/>
      <c r="CB55" s="537"/>
      <c r="CC55" s="537"/>
      <c r="CD55" s="537"/>
      <c r="CE55" s="537"/>
      <c r="CF55" s="537"/>
      <c r="CG55" s="537"/>
      <c r="CH55" s="537"/>
      <c r="CI55" s="537"/>
      <c r="CJ55" s="537"/>
      <c r="CK55" s="537"/>
      <c r="CL55" s="537"/>
      <c r="CM55" s="537"/>
      <c r="CN55" s="537"/>
      <c r="CO55" s="537"/>
      <c r="CP55" s="537"/>
      <c r="CQ55" s="537"/>
      <c r="CR55" s="537"/>
      <c r="CS55" s="537"/>
      <c r="CT55" s="537"/>
      <c r="CU55" s="537"/>
      <c r="CV55" s="537"/>
      <c r="CW55" s="537"/>
      <c r="CX55" s="537"/>
      <c r="CY55" s="537"/>
      <c r="CZ55" s="537"/>
      <c r="DA55" s="537"/>
      <c r="DB55" s="537"/>
      <c r="DC55" s="537"/>
      <c r="DD55" s="537"/>
    </row>
    <row r="56" spans="1:108" ht="15" hidden="1" customHeight="1" x14ac:dyDescent="0.25">
      <c r="A56" s="537"/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537"/>
      <c r="CG56" s="537"/>
      <c r="CH56" s="537"/>
      <c r="CI56" s="537"/>
      <c r="CJ56" s="537"/>
      <c r="CK56" s="537"/>
      <c r="CL56" s="537"/>
      <c r="CM56" s="537"/>
      <c r="CN56" s="537"/>
      <c r="CO56" s="537"/>
      <c r="CP56" s="537"/>
      <c r="CQ56" s="537"/>
      <c r="CR56" s="537"/>
      <c r="CS56" s="537"/>
      <c r="CT56" s="537"/>
      <c r="CU56" s="537"/>
      <c r="CV56" s="537"/>
      <c r="CW56" s="537"/>
      <c r="CX56" s="537"/>
      <c r="CY56" s="537"/>
      <c r="CZ56" s="537"/>
      <c r="DA56" s="537"/>
      <c r="DB56" s="537"/>
      <c r="DC56" s="537"/>
      <c r="DD56" s="537"/>
    </row>
    <row r="57" spans="1:108" ht="15" hidden="1" customHeight="1" x14ac:dyDescent="0.25"/>
  </sheetData>
  <mergeCells count="34">
    <mergeCell ref="A27:CA28"/>
    <mergeCell ref="A21:DD21"/>
    <mergeCell ref="BI2:DD2"/>
    <mergeCell ref="A19:DD19"/>
    <mergeCell ref="A20:DD20"/>
    <mergeCell ref="BR7:DD7"/>
    <mergeCell ref="CO22:DD22"/>
    <mergeCell ref="CO23:DD23"/>
    <mergeCell ref="AL24:AO24"/>
    <mergeCell ref="AS24:BJ24"/>
    <mergeCell ref="BK24:BN24"/>
    <mergeCell ref="BO24:BR24"/>
    <mergeCell ref="CO24:DD24"/>
    <mergeCell ref="A44:DD45"/>
    <mergeCell ref="A46:DD46"/>
    <mergeCell ref="A47:DD56"/>
    <mergeCell ref="A35:BY35"/>
    <mergeCell ref="CO25:DD25"/>
    <mergeCell ref="CO26:DD26"/>
    <mergeCell ref="CO27:DD27"/>
    <mergeCell ref="CO28:DD28"/>
    <mergeCell ref="A29:BY29"/>
    <mergeCell ref="CO29:DD29"/>
    <mergeCell ref="CO30:DD30"/>
    <mergeCell ref="X31:BK31"/>
    <mergeCell ref="CO31:DD31"/>
    <mergeCell ref="CO32:DD32"/>
    <mergeCell ref="A34:BY34"/>
    <mergeCell ref="A37:BY37"/>
    <mergeCell ref="A38:BY38"/>
    <mergeCell ref="A42:DD42"/>
    <mergeCell ref="A43:DD43"/>
    <mergeCell ref="A40:DD40"/>
    <mergeCell ref="A41:DD41"/>
  </mergeCells>
  <pageMargins left="0.75" right="0.75" top="0.47" bottom="0.45" header="0.25" footer="0.23"/>
  <pageSetup paperSize="9" scale="93"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view="pageBreakPreview" zoomScaleNormal="100" zoomScaleSheetLayoutView="100" workbookViewId="0">
      <selection sqref="A1:H1"/>
    </sheetView>
  </sheetViews>
  <sheetFormatPr defaultRowHeight="12.75" x14ac:dyDescent="0.2"/>
  <cols>
    <col min="1" max="1" width="50" style="180" customWidth="1"/>
    <col min="2" max="2" width="8.140625" style="180" customWidth="1"/>
    <col min="3" max="3" width="20.28515625" style="180" customWidth="1"/>
    <col min="4" max="4" width="13.140625" style="180" customWidth="1"/>
    <col min="5" max="6" width="14.28515625" style="180" bestFit="1" customWidth="1"/>
    <col min="7" max="7" width="14.140625" style="180" customWidth="1"/>
    <col min="8" max="8" width="11.5703125" style="180" customWidth="1"/>
    <col min="9" max="9" width="9.140625" style="180"/>
    <col min="10" max="10" width="13.140625" style="180" customWidth="1"/>
    <col min="11" max="11" width="9.140625" style="180"/>
    <col min="12" max="13" width="11" style="180" bestFit="1" customWidth="1"/>
    <col min="14" max="256" width="9.140625" style="180"/>
    <col min="257" max="257" width="50" style="180" customWidth="1"/>
    <col min="258" max="258" width="9.140625" style="180"/>
    <col min="259" max="259" width="21.85546875" style="180" customWidth="1"/>
    <col min="260" max="260" width="13.140625" style="180" customWidth="1"/>
    <col min="261" max="261" width="12.85546875" style="180" customWidth="1"/>
    <col min="262" max="264" width="11.5703125" style="180" customWidth="1"/>
    <col min="265" max="512" width="9.140625" style="180"/>
    <col min="513" max="513" width="50" style="180" customWidth="1"/>
    <col min="514" max="514" width="9.140625" style="180"/>
    <col min="515" max="515" width="21.85546875" style="180" customWidth="1"/>
    <col min="516" max="516" width="13.140625" style="180" customWidth="1"/>
    <col min="517" max="517" width="12.85546875" style="180" customWidth="1"/>
    <col min="518" max="520" width="11.5703125" style="180" customWidth="1"/>
    <col min="521" max="768" width="9.140625" style="180"/>
    <col min="769" max="769" width="50" style="180" customWidth="1"/>
    <col min="770" max="770" width="9.140625" style="180"/>
    <col min="771" max="771" width="21.85546875" style="180" customWidth="1"/>
    <col min="772" max="772" width="13.140625" style="180" customWidth="1"/>
    <col min="773" max="773" width="12.85546875" style="180" customWidth="1"/>
    <col min="774" max="776" width="11.5703125" style="180" customWidth="1"/>
    <col min="777" max="1024" width="9.140625" style="180"/>
    <col min="1025" max="1025" width="50" style="180" customWidth="1"/>
    <col min="1026" max="1026" width="9.140625" style="180"/>
    <col min="1027" max="1027" width="21.85546875" style="180" customWidth="1"/>
    <col min="1028" max="1028" width="13.140625" style="180" customWidth="1"/>
    <col min="1029" max="1029" width="12.85546875" style="180" customWidth="1"/>
    <col min="1030" max="1032" width="11.5703125" style="180" customWidth="1"/>
    <col min="1033" max="1280" width="9.140625" style="180"/>
    <col min="1281" max="1281" width="50" style="180" customWidth="1"/>
    <col min="1282" max="1282" width="9.140625" style="180"/>
    <col min="1283" max="1283" width="21.85546875" style="180" customWidth="1"/>
    <col min="1284" max="1284" width="13.140625" style="180" customWidth="1"/>
    <col min="1285" max="1285" width="12.85546875" style="180" customWidth="1"/>
    <col min="1286" max="1288" width="11.5703125" style="180" customWidth="1"/>
    <col min="1289" max="1536" width="9.140625" style="180"/>
    <col min="1537" max="1537" width="50" style="180" customWidth="1"/>
    <col min="1538" max="1538" width="9.140625" style="180"/>
    <col min="1539" max="1539" width="21.85546875" style="180" customWidth="1"/>
    <col min="1540" max="1540" width="13.140625" style="180" customWidth="1"/>
    <col min="1541" max="1541" width="12.85546875" style="180" customWidth="1"/>
    <col min="1542" max="1544" width="11.5703125" style="180" customWidth="1"/>
    <col min="1545" max="1792" width="9.140625" style="180"/>
    <col min="1793" max="1793" width="50" style="180" customWidth="1"/>
    <col min="1794" max="1794" width="9.140625" style="180"/>
    <col min="1795" max="1795" width="21.85546875" style="180" customWidth="1"/>
    <col min="1796" max="1796" width="13.140625" style="180" customWidth="1"/>
    <col min="1797" max="1797" width="12.85546875" style="180" customWidth="1"/>
    <col min="1798" max="1800" width="11.5703125" style="180" customWidth="1"/>
    <col min="1801" max="2048" width="9.140625" style="180"/>
    <col min="2049" max="2049" width="50" style="180" customWidth="1"/>
    <col min="2050" max="2050" width="9.140625" style="180"/>
    <col min="2051" max="2051" width="21.85546875" style="180" customWidth="1"/>
    <col min="2052" max="2052" width="13.140625" style="180" customWidth="1"/>
    <col min="2053" max="2053" width="12.85546875" style="180" customWidth="1"/>
    <col min="2054" max="2056" width="11.5703125" style="180" customWidth="1"/>
    <col min="2057" max="2304" width="9.140625" style="180"/>
    <col min="2305" max="2305" width="50" style="180" customWidth="1"/>
    <col min="2306" max="2306" width="9.140625" style="180"/>
    <col min="2307" max="2307" width="21.85546875" style="180" customWidth="1"/>
    <col min="2308" max="2308" width="13.140625" style="180" customWidth="1"/>
    <col min="2309" max="2309" width="12.85546875" style="180" customWidth="1"/>
    <col min="2310" max="2312" width="11.5703125" style="180" customWidth="1"/>
    <col min="2313" max="2560" width="9.140625" style="180"/>
    <col min="2561" max="2561" width="50" style="180" customWidth="1"/>
    <col min="2562" max="2562" width="9.140625" style="180"/>
    <col min="2563" max="2563" width="21.85546875" style="180" customWidth="1"/>
    <col min="2564" max="2564" width="13.140625" style="180" customWidth="1"/>
    <col min="2565" max="2565" width="12.85546875" style="180" customWidth="1"/>
    <col min="2566" max="2568" width="11.5703125" style="180" customWidth="1"/>
    <col min="2569" max="2816" width="9.140625" style="180"/>
    <col min="2817" max="2817" width="50" style="180" customWidth="1"/>
    <col min="2818" max="2818" width="9.140625" style="180"/>
    <col min="2819" max="2819" width="21.85546875" style="180" customWidth="1"/>
    <col min="2820" max="2820" width="13.140625" style="180" customWidth="1"/>
    <col min="2821" max="2821" width="12.85546875" style="180" customWidth="1"/>
    <col min="2822" max="2824" width="11.5703125" style="180" customWidth="1"/>
    <col min="2825" max="3072" width="9.140625" style="180"/>
    <col min="3073" max="3073" width="50" style="180" customWidth="1"/>
    <col min="3074" max="3074" width="9.140625" style="180"/>
    <col min="3075" max="3075" width="21.85546875" style="180" customWidth="1"/>
    <col min="3076" max="3076" width="13.140625" style="180" customWidth="1"/>
    <col min="3077" max="3077" width="12.85546875" style="180" customWidth="1"/>
    <col min="3078" max="3080" width="11.5703125" style="180" customWidth="1"/>
    <col min="3081" max="3328" width="9.140625" style="180"/>
    <col min="3329" max="3329" width="50" style="180" customWidth="1"/>
    <col min="3330" max="3330" width="9.140625" style="180"/>
    <col min="3331" max="3331" width="21.85546875" style="180" customWidth="1"/>
    <col min="3332" max="3332" width="13.140625" style="180" customWidth="1"/>
    <col min="3333" max="3333" width="12.85546875" style="180" customWidth="1"/>
    <col min="3334" max="3336" width="11.5703125" style="180" customWidth="1"/>
    <col min="3337" max="3584" width="9.140625" style="180"/>
    <col min="3585" max="3585" width="50" style="180" customWidth="1"/>
    <col min="3586" max="3586" width="9.140625" style="180"/>
    <col min="3587" max="3587" width="21.85546875" style="180" customWidth="1"/>
    <col min="3588" max="3588" width="13.140625" style="180" customWidth="1"/>
    <col min="3589" max="3589" width="12.85546875" style="180" customWidth="1"/>
    <col min="3590" max="3592" width="11.5703125" style="180" customWidth="1"/>
    <col min="3593" max="3840" width="9.140625" style="180"/>
    <col min="3841" max="3841" width="50" style="180" customWidth="1"/>
    <col min="3842" max="3842" width="9.140625" style="180"/>
    <col min="3843" max="3843" width="21.85546875" style="180" customWidth="1"/>
    <col min="3844" max="3844" width="13.140625" style="180" customWidth="1"/>
    <col min="3845" max="3845" width="12.85546875" style="180" customWidth="1"/>
    <col min="3846" max="3848" width="11.5703125" style="180" customWidth="1"/>
    <col min="3849" max="4096" width="9.140625" style="180"/>
    <col min="4097" max="4097" width="50" style="180" customWidth="1"/>
    <col min="4098" max="4098" width="9.140625" style="180"/>
    <col min="4099" max="4099" width="21.85546875" style="180" customWidth="1"/>
    <col min="4100" max="4100" width="13.140625" style="180" customWidth="1"/>
    <col min="4101" max="4101" width="12.85546875" style="180" customWidth="1"/>
    <col min="4102" max="4104" width="11.5703125" style="180" customWidth="1"/>
    <col min="4105" max="4352" width="9.140625" style="180"/>
    <col min="4353" max="4353" width="50" style="180" customWidth="1"/>
    <col min="4354" max="4354" width="9.140625" style="180"/>
    <col min="4355" max="4355" width="21.85546875" style="180" customWidth="1"/>
    <col min="4356" max="4356" width="13.140625" style="180" customWidth="1"/>
    <col min="4357" max="4357" width="12.85546875" style="180" customWidth="1"/>
    <col min="4358" max="4360" width="11.5703125" style="180" customWidth="1"/>
    <col min="4361" max="4608" width="9.140625" style="180"/>
    <col min="4609" max="4609" width="50" style="180" customWidth="1"/>
    <col min="4610" max="4610" width="9.140625" style="180"/>
    <col min="4611" max="4611" width="21.85546875" style="180" customWidth="1"/>
    <col min="4612" max="4612" width="13.140625" style="180" customWidth="1"/>
    <col min="4613" max="4613" width="12.85546875" style="180" customWidth="1"/>
    <col min="4614" max="4616" width="11.5703125" style="180" customWidth="1"/>
    <col min="4617" max="4864" width="9.140625" style="180"/>
    <col min="4865" max="4865" width="50" style="180" customWidth="1"/>
    <col min="4866" max="4866" width="9.140625" style="180"/>
    <col min="4867" max="4867" width="21.85546875" style="180" customWidth="1"/>
    <col min="4868" max="4868" width="13.140625" style="180" customWidth="1"/>
    <col min="4869" max="4869" width="12.85546875" style="180" customWidth="1"/>
    <col min="4870" max="4872" width="11.5703125" style="180" customWidth="1"/>
    <col min="4873" max="5120" width="9.140625" style="180"/>
    <col min="5121" max="5121" width="50" style="180" customWidth="1"/>
    <col min="5122" max="5122" width="9.140625" style="180"/>
    <col min="5123" max="5123" width="21.85546875" style="180" customWidth="1"/>
    <col min="5124" max="5124" width="13.140625" style="180" customWidth="1"/>
    <col min="5125" max="5125" width="12.85546875" style="180" customWidth="1"/>
    <col min="5126" max="5128" width="11.5703125" style="180" customWidth="1"/>
    <col min="5129" max="5376" width="9.140625" style="180"/>
    <col min="5377" max="5377" width="50" style="180" customWidth="1"/>
    <col min="5378" max="5378" width="9.140625" style="180"/>
    <col min="5379" max="5379" width="21.85546875" style="180" customWidth="1"/>
    <col min="5380" max="5380" width="13.140625" style="180" customWidth="1"/>
    <col min="5381" max="5381" width="12.85546875" style="180" customWidth="1"/>
    <col min="5382" max="5384" width="11.5703125" style="180" customWidth="1"/>
    <col min="5385" max="5632" width="9.140625" style="180"/>
    <col min="5633" max="5633" width="50" style="180" customWidth="1"/>
    <col min="5634" max="5634" width="9.140625" style="180"/>
    <col min="5635" max="5635" width="21.85546875" style="180" customWidth="1"/>
    <col min="5636" max="5636" width="13.140625" style="180" customWidth="1"/>
    <col min="5637" max="5637" width="12.85546875" style="180" customWidth="1"/>
    <col min="5638" max="5640" width="11.5703125" style="180" customWidth="1"/>
    <col min="5641" max="5888" width="9.140625" style="180"/>
    <col min="5889" max="5889" width="50" style="180" customWidth="1"/>
    <col min="5890" max="5890" width="9.140625" style="180"/>
    <col min="5891" max="5891" width="21.85546875" style="180" customWidth="1"/>
    <col min="5892" max="5892" width="13.140625" style="180" customWidth="1"/>
    <col min="5893" max="5893" width="12.85546875" style="180" customWidth="1"/>
    <col min="5894" max="5896" width="11.5703125" style="180" customWidth="1"/>
    <col min="5897" max="6144" width="9.140625" style="180"/>
    <col min="6145" max="6145" width="50" style="180" customWidth="1"/>
    <col min="6146" max="6146" width="9.140625" style="180"/>
    <col min="6147" max="6147" width="21.85546875" style="180" customWidth="1"/>
    <col min="6148" max="6148" width="13.140625" style="180" customWidth="1"/>
    <col min="6149" max="6149" width="12.85546875" style="180" customWidth="1"/>
    <col min="6150" max="6152" width="11.5703125" style="180" customWidth="1"/>
    <col min="6153" max="6400" width="9.140625" style="180"/>
    <col min="6401" max="6401" width="50" style="180" customWidth="1"/>
    <col min="6402" max="6402" width="9.140625" style="180"/>
    <col min="6403" max="6403" width="21.85546875" style="180" customWidth="1"/>
    <col min="6404" max="6404" width="13.140625" style="180" customWidth="1"/>
    <col min="6405" max="6405" width="12.85546875" style="180" customWidth="1"/>
    <col min="6406" max="6408" width="11.5703125" style="180" customWidth="1"/>
    <col min="6409" max="6656" width="9.140625" style="180"/>
    <col min="6657" max="6657" width="50" style="180" customWidth="1"/>
    <col min="6658" max="6658" width="9.140625" style="180"/>
    <col min="6659" max="6659" width="21.85546875" style="180" customWidth="1"/>
    <col min="6660" max="6660" width="13.140625" style="180" customWidth="1"/>
    <col min="6661" max="6661" width="12.85546875" style="180" customWidth="1"/>
    <col min="6662" max="6664" width="11.5703125" style="180" customWidth="1"/>
    <col min="6665" max="6912" width="9.140625" style="180"/>
    <col min="6913" max="6913" width="50" style="180" customWidth="1"/>
    <col min="6914" max="6914" width="9.140625" style="180"/>
    <col min="6915" max="6915" width="21.85546875" style="180" customWidth="1"/>
    <col min="6916" max="6916" width="13.140625" style="180" customWidth="1"/>
    <col min="6917" max="6917" width="12.85546875" style="180" customWidth="1"/>
    <col min="6918" max="6920" width="11.5703125" style="180" customWidth="1"/>
    <col min="6921" max="7168" width="9.140625" style="180"/>
    <col min="7169" max="7169" width="50" style="180" customWidth="1"/>
    <col min="7170" max="7170" width="9.140625" style="180"/>
    <col min="7171" max="7171" width="21.85546875" style="180" customWidth="1"/>
    <col min="7172" max="7172" width="13.140625" style="180" customWidth="1"/>
    <col min="7173" max="7173" width="12.85546875" style="180" customWidth="1"/>
    <col min="7174" max="7176" width="11.5703125" style="180" customWidth="1"/>
    <col min="7177" max="7424" width="9.140625" style="180"/>
    <col min="7425" max="7425" width="50" style="180" customWidth="1"/>
    <col min="7426" max="7426" width="9.140625" style="180"/>
    <col min="7427" max="7427" width="21.85546875" style="180" customWidth="1"/>
    <col min="7428" max="7428" width="13.140625" style="180" customWidth="1"/>
    <col min="7429" max="7429" width="12.85546875" style="180" customWidth="1"/>
    <col min="7430" max="7432" width="11.5703125" style="180" customWidth="1"/>
    <col min="7433" max="7680" width="9.140625" style="180"/>
    <col min="7681" max="7681" width="50" style="180" customWidth="1"/>
    <col min="7682" max="7682" width="9.140625" style="180"/>
    <col min="7683" max="7683" width="21.85546875" style="180" customWidth="1"/>
    <col min="7684" max="7684" width="13.140625" style="180" customWidth="1"/>
    <col min="7685" max="7685" width="12.85546875" style="180" customWidth="1"/>
    <col min="7686" max="7688" width="11.5703125" style="180" customWidth="1"/>
    <col min="7689" max="7936" width="9.140625" style="180"/>
    <col min="7937" max="7937" width="50" style="180" customWidth="1"/>
    <col min="7938" max="7938" width="9.140625" style="180"/>
    <col min="7939" max="7939" width="21.85546875" style="180" customWidth="1"/>
    <col min="7940" max="7940" width="13.140625" style="180" customWidth="1"/>
    <col min="7941" max="7941" width="12.85546875" style="180" customWidth="1"/>
    <col min="7942" max="7944" width="11.5703125" style="180" customWidth="1"/>
    <col min="7945" max="8192" width="9.140625" style="180"/>
    <col min="8193" max="8193" width="50" style="180" customWidth="1"/>
    <col min="8194" max="8194" width="9.140625" style="180"/>
    <col min="8195" max="8195" width="21.85546875" style="180" customWidth="1"/>
    <col min="8196" max="8196" width="13.140625" style="180" customWidth="1"/>
    <col min="8197" max="8197" width="12.85546875" style="180" customWidth="1"/>
    <col min="8198" max="8200" width="11.5703125" style="180" customWidth="1"/>
    <col min="8201" max="8448" width="9.140625" style="180"/>
    <col min="8449" max="8449" width="50" style="180" customWidth="1"/>
    <col min="8450" max="8450" width="9.140625" style="180"/>
    <col min="8451" max="8451" width="21.85546875" style="180" customWidth="1"/>
    <col min="8452" max="8452" width="13.140625" style="180" customWidth="1"/>
    <col min="8453" max="8453" width="12.85546875" style="180" customWidth="1"/>
    <col min="8454" max="8456" width="11.5703125" style="180" customWidth="1"/>
    <col min="8457" max="8704" width="9.140625" style="180"/>
    <col min="8705" max="8705" width="50" style="180" customWidth="1"/>
    <col min="8706" max="8706" width="9.140625" style="180"/>
    <col min="8707" max="8707" width="21.85546875" style="180" customWidth="1"/>
    <col min="8708" max="8708" width="13.140625" style="180" customWidth="1"/>
    <col min="8709" max="8709" width="12.85546875" style="180" customWidth="1"/>
    <col min="8710" max="8712" width="11.5703125" style="180" customWidth="1"/>
    <col min="8713" max="8960" width="9.140625" style="180"/>
    <col min="8961" max="8961" width="50" style="180" customWidth="1"/>
    <col min="8962" max="8962" width="9.140625" style="180"/>
    <col min="8963" max="8963" width="21.85546875" style="180" customWidth="1"/>
    <col min="8964" max="8964" width="13.140625" style="180" customWidth="1"/>
    <col min="8965" max="8965" width="12.85546875" style="180" customWidth="1"/>
    <col min="8966" max="8968" width="11.5703125" style="180" customWidth="1"/>
    <col min="8969" max="9216" width="9.140625" style="180"/>
    <col min="9217" max="9217" width="50" style="180" customWidth="1"/>
    <col min="9218" max="9218" width="9.140625" style="180"/>
    <col min="9219" max="9219" width="21.85546875" style="180" customWidth="1"/>
    <col min="9220" max="9220" width="13.140625" style="180" customWidth="1"/>
    <col min="9221" max="9221" width="12.85546875" style="180" customWidth="1"/>
    <col min="9222" max="9224" width="11.5703125" style="180" customWidth="1"/>
    <col min="9225" max="9472" width="9.140625" style="180"/>
    <col min="9473" max="9473" width="50" style="180" customWidth="1"/>
    <col min="9474" max="9474" width="9.140625" style="180"/>
    <col min="9475" max="9475" width="21.85546875" style="180" customWidth="1"/>
    <col min="9476" max="9476" width="13.140625" style="180" customWidth="1"/>
    <col min="9477" max="9477" width="12.85546875" style="180" customWidth="1"/>
    <col min="9478" max="9480" width="11.5703125" style="180" customWidth="1"/>
    <col min="9481" max="9728" width="9.140625" style="180"/>
    <col min="9729" max="9729" width="50" style="180" customWidth="1"/>
    <col min="9730" max="9730" width="9.140625" style="180"/>
    <col min="9731" max="9731" width="21.85546875" style="180" customWidth="1"/>
    <col min="9732" max="9732" width="13.140625" style="180" customWidth="1"/>
    <col min="9733" max="9733" width="12.85546875" style="180" customWidth="1"/>
    <col min="9734" max="9736" width="11.5703125" style="180" customWidth="1"/>
    <col min="9737" max="9984" width="9.140625" style="180"/>
    <col min="9985" max="9985" width="50" style="180" customWidth="1"/>
    <col min="9986" max="9986" width="9.140625" style="180"/>
    <col min="9987" max="9987" width="21.85546875" style="180" customWidth="1"/>
    <col min="9988" max="9988" width="13.140625" style="180" customWidth="1"/>
    <col min="9989" max="9989" width="12.85546875" style="180" customWidth="1"/>
    <col min="9990" max="9992" width="11.5703125" style="180" customWidth="1"/>
    <col min="9993" max="10240" width="9.140625" style="180"/>
    <col min="10241" max="10241" width="50" style="180" customWidth="1"/>
    <col min="10242" max="10242" width="9.140625" style="180"/>
    <col min="10243" max="10243" width="21.85546875" style="180" customWidth="1"/>
    <col min="10244" max="10244" width="13.140625" style="180" customWidth="1"/>
    <col min="10245" max="10245" width="12.85546875" style="180" customWidth="1"/>
    <col min="10246" max="10248" width="11.5703125" style="180" customWidth="1"/>
    <col min="10249" max="10496" width="9.140625" style="180"/>
    <col min="10497" max="10497" width="50" style="180" customWidth="1"/>
    <col min="10498" max="10498" width="9.140625" style="180"/>
    <col min="10499" max="10499" width="21.85546875" style="180" customWidth="1"/>
    <col min="10500" max="10500" width="13.140625" style="180" customWidth="1"/>
    <col min="10501" max="10501" width="12.85546875" style="180" customWidth="1"/>
    <col min="10502" max="10504" width="11.5703125" style="180" customWidth="1"/>
    <col min="10505" max="10752" width="9.140625" style="180"/>
    <col min="10753" max="10753" width="50" style="180" customWidth="1"/>
    <col min="10754" max="10754" width="9.140625" style="180"/>
    <col min="10755" max="10755" width="21.85546875" style="180" customWidth="1"/>
    <col min="10756" max="10756" width="13.140625" style="180" customWidth="1"/>
    <col min="10757" max="10757" width="12.85546875" style="180" customWidth="1"/>
    <col min="10758" max="10760" width="11.5703125" style="180" customWidth="1"/>
    <col min="10761" max="11008" width="9.140625" style="180"/>
    <col min="11009" max="11009" width="50" style="180" customWidth="1"/>
    <col min="11010" max="11010" width="9.140625" style="180"/>
    <col min="11011" max="11011" width="21.85546875" style="180" customWidth="1"/>
    <col min="11012" max="11012" width="13.140625" style="180" customWidth="1"/>
    <col min="11013" max="11013" width="12.85546875" style="180" customWidth="1"/>
    <col min="11014" max="11016" width="11.5703125" style="180" customWidth="1"/>
    <col min="11017" max="11264" width="9.140625" style="180"/>
    <col min="11265" max="11265" width="50" style="180" customWidth="1"/>
    <col min="11266" max="11266" width="9.140625" style="180"/>
    <col min="11267" max="11267" width="21.85546875" style="180" customWidth="1"/>
    <col min="11268" max="11268" width="13.140625" style="180" customWidth="1"/>
    <col min="11269" max="11269" width="12.85546875" style="180" customWidth="1"/>
    <col min="11270" max="11272" width="11.5703125" style="180" customWidth="1"/>
    <col min="11273" max="11520" width="9.140625" style="180"/>
    <col min="11521" max="11521" width="50" style="180" customWidth="1"/>
    <col min="11522" max="11522" width="9.140625" style="180"/>
    <col min="11523" max="11523" width="21.85546875" style="180" customWidth="1"/>
    <col min="11524" max="11524" width="13.140625" style="180" customWidth="1"/>
    <col min="11525" max="11525" width="12.85546875" style="180" customWidth="1"/>
    <col min="11526" max="11528" width="11.5703125" style="180" customWidth="1"/>
    <col min="11529" max="11776" width="9.140625" style="180"/>
    <col min="11777" max="11777" width="50" style="180" customWidth="1"/>
    <col min="11778" max="11778" width="9.140625" style="180"/>
    <col min="11779" max="11779" width="21.85546875" style="180" customWidth="1"/>
    <col min="11780" max="11780" width="13.140625" style="180" customWidth="1"/>
    <col min="11781" max="11781" width="12.85546875" style="180" customWidth="1"/>
    <col min="11782" max="11784" width="11.5703125" style="180" customWidth="1"/>
    <col min="11785" max="12032" width="9.140625" style="180"/>
    <col min="12033" max="12033" width="50" style="180" customWidth="1"/>
    <col min="12034" max="12034" width="9.140625" style="180"/>
    <col min="12035" max="12035" width="21.85546875" style="180" customWidth="1"/>
    <col min="12036" max="12036" width="13.140625" style="180" customWidth="1"/>
    <col min="12037" max="12037" width="12.85546875" style="180" customWidth="1"/>
    <col min="12038" max="12040" width="11.5703125" style="180" customWidth="1"/>
    <col min="12041" max="12288" width="9.140625" style="180"/>
    <col min="12289" max="12289" width="50" style="180" customWidth="1"/>
    <col min="12290" max="12290" width="9.140625" style="180"/>
    <col min="12291" max="12291" width="21.85546875" style="180" customWidth="1"/>
    <col min="12292" max="12292" width="13.140625" style="180" customWidth="1"/>
    <col min="12293" max="12293" width="12.85546875" style="180" customWidth="1"/>
    <col min="12294" max="12296" width="11.5703125" style="180" customWidth="1"/>
    <col min="12297" max="12544" width="9.140625" style="180"/>
    <col min="12545" max="12545" width="50" style="180" customWidth="1"/>
    <col min="12546" max="12546" width="9.140625" style="180"/>
    <col min="12547" max="12547" width="21.85546875" style="180" customWidth="1"/>
    <col min="12548" max="12548" width="13.140625" style="180" customWidth="1"/>
    <col min="12549" max="12549" width="12.85546875" style="180" customWidth="1"/>
    <col min="12550" max="12552" width="11.5703125" style="180" customWidth="1"/>
    <col min="12553" max="12800" width="9.140625" style="180"/>
    <col min="12801" max="12801" width="50" style="180" customWidth="1"/>
    <col min="12802" max="12802" width="9.140625" style="180"/>
    <col min="12803" max="12803" width="21.85546875" style="180" customWidth="1"/>
    <col min="12804" max="12804" width="13.140625" style="180" customWidth="1"/>
    <col min="12805" max="12805" width="12.85546875" style="180" customWidth="1"/>
    <col min="12806" max="12808" width="11.5703125" style="180" customWidth="1"/>
    <col min="12809" max="13056" width="9.140625" style="180"/>
    <col min="13057" max="13057" width="50" style="180" customWidth="1"/>
    <col min="13058" max="13058" width="9.140625" style="180"/>
    <col min="13059" max="13059" width="21.85546875" style="180" customWidth="1"/>
    <col min="13060" max="13060" width="13.140625" style="180" customWidth="1"/>
    <col min="13061" max="13061" width="12.85546875" style="180" customWidth="1"/>
    <col min="13062" max="13064" width="11.5703125" style="180" customWidth="1"/>
    <col min="13065" max="13312" width="9.140625" style="180"/>
    <col min="13313" max="13313" width="50" style="180" customWidth="1"/>
    <col min="13314" max="13314" width="9.140625" style="180"/>
    <col min="13315" max="13315" width="21.85546875" style="180" customWidth="1"/>
    <col min="13316" max="13316" width="13.140625" style="180" customWidth="1"/>
    <col min="13317" max="13317" width="12.85546875" style="180" customWidth="1"/>
    <col min="13318" max="13320" width="11.5703125" style="180" customWidth="1"/>
    <col min="13321" max="13568" width="9.140625" style="180"/>
    <col min="13569" max="13569" width="50" style="180" customWidth="1"/>
    <col min="13570" max="13570" width="9.140625" style="180"/>
    <col min="13571" max="13571" width="21.85546875" style="180" customWidth="1"/>
    <col min="13572" max="13572" width="13.140625" style="180" customWidth="1"/>
    <col min="13573" max="13573" width="12.85546875" style="180" customWidth="1"/>
    <col min="13574" max="13576" width="11.5703125" style="180" customWidth="1"/>
    <col min="13577" max="13824" width="9.140625" style="180"/>
    <col min="13825" max="13825" width="50" style="180" customWidth="1"/>
    <col min="13826" max="13826" width="9.140625" style="180"/>
    <col min="13827" max="13827" width="21.85546875" style="180" customWidth="1"/>
    <col min="13828" max="13828" width="13.140625" style="180" customWidth="1"/>
    <col min="13829" max="13829" width="12.85546875" style="180" customWidth="1"/>
    <col min="13830" max="13832" width="11.5703125" style="180" customWidth="1"/>
    <col min="13833" max="14080" width="9.140625" style="180"/>
    <col min="14081" max="14081" width="50" style="180" customWidth="1"/>
    <col min="14082" max="14082" width="9.140625" style="180"/>
    <col min="14083" max="14083" width="21.85546875" style="180" customWidth="1"/>
    <col min="14084" max="14084" width="13.140625" style="180" customWidth="1"/>
    <col min="14085" max="14085" width="12.85546875" style="180" customWidth="1"/>
    <col min="14086" max="14088" width="11.5703125" style="180" customWidth="1"/>
    <col min="14089" max="14336" width="9.140625" style="180"/>
    <col min="14337" max="14337" width="50" style="180" customWidth="1"/>
    <col min="14338" max="14338" width="9.140625" style="180"/>
    <col min="14339" max="14339" width="21.85546875" style="180" customWidth="1"/>
    <col min="14340" max="14340" width="13.140625" style="180" customWidth="1"/>
    <col min="14341" max="14341" width="12.85546875" style="180" customWidth="1"/>
    <col min="14342" max="14344" width="11.5703125" style="180" customWidth="1"/>
    <col min="14345" max="14592" width="9.140625" style="180"/>
    <col min="14593" max="14593" width="50" style="180" customWidth="1"/>
    <col min="14594" max="14594" width="9.140625" style="180"/>
    <col min="14595" max="14595" width="21.85546875" style="180" customWidth="1"/>
    <col min="14596" max="14596" width="13.140625" style="180" customWidth="1"/>
    <col min="14597" max="14597" width="12.85546875" style="180" customWidth="1"/>
    <col min="14598" max="14600" width="11.5703125" style="180" customWidth="1"/>
    <col min="14601" max="14848" width="9.140625" style="180"/>
    <col min="14849" max="14849" width="50" style="180" customWidth="1"/>
    <col min="14850" max="14850" width="9.140625" style="180"/>
    <col min="14851" max="14851" width="21.85546875" style="180" customWidth="1"/>
    <col min="14852" max="14852" width="13.140625" style="180" customWidth="1"/>
    <col min="14853" max="14853" width="12.85546875" style="180" customWidth="1"/>
    <col min="14854" max="14856" width="11.5703125" style="180" customWidth="1"/>
    <col min="14857" max="15104" width="9.140625" style="180"/>
    <col min="15105" max="15105" width="50" style="180" customWidth="1"/>
    <col min="15106" max="15106" width="9.140625" style="180"/>
    <col min="15107" max="15107" width="21.85546875" style="180" customWidth="1"/>
    <col min="15108" max="15108" width="13.140625" style="180" customWidth="1"/>
    <col min="15109" max="15109" width="12.85546875" style="180" customWidth="1"/>
    <col min="15110" max="15112" width="11.5703125" style="180" customWidth="1"/>
    <col min="15113" max="15360" width="9.140625" style="180"/>
    <col min="15361" max="15361" width="50" style="180" customWidth="1"/>
    <col min="15362" max="15362" width="9.140625" style="180"/>
    <col min="15363" max="15363" width="21.85546875" style="180" customWidth="1"/>
    <col min="15364" max="15364" width="13.140625" style="180" customWidth="1"/>
    <col min="15365" max="15365" width="12.85546875" style="180" customWidth="1"/>
    <col min="15366" max="15368" width="11.5703125" style="180" customWidth="1"/>
    <col min="15369" max="15616" width="9.140625" style="180"/>
    <col min="15617" max="15617" width="50" style="180" customWidth="1"/>
    <col min="15618" max="15618" width="9.140625" style="180"/>
    <col min="15619" max="15619" width="21.85546875" style="180" customWidth="1"/>
    <col min="15620" max="15620" width="13.140625" style="180" customWidth="1"/>
    <col min="15621" max="15621" width="12.85546875" style="180" customWidth="1"/>
    <col min="15622" max="15624" width="11.5703125" style="180" customWidth="1"/>
    <col min="15625" max="15872" width="9.140625" style="180"/>
    <col min="15873" max="15873" width="50" style="180" customWidth="1"/>
    <col min="15874" max="15874" width="9.140625" style="180"/>
    <col min="15875" max="15875" width="21.85546875" style="180" customWidth="1"/>
    <col min="15876" max="15876" width="13.140625" style="180" customWidth="1"/>
    <col min="15877" max="15877" width="12.85546875" style="180" customWidth="1"/>
    <col min="15878" max="15880" width="11.5703125" style="180" customWidth="1"/>
    <col min="15881" max="16128" width="9.140625" style="180"/>
    <col min="16129" max="16129" width="50" style="180" customWidth="1"/>
    <col min="16130" max="16130" width="9.140625" style="180"/>
    <col min="16131" max="16131" width="21.85546875" style="180" customWidth="1"/>
    <col min="16132" max="16132" width="13.140625" style="180" customWidth="1"/>
    <col min="16133" max="16133" width="12.85546875" style="180" customWidth="1"/>
    <col min="16134" max="16136" width="11.5703125" style="180" customWidth="1"/>
    <col min="16137" max="16384" width="9.140625" style="180"/>
  </cols>
  <sheetData>
    <row r="1" spans="1:13" s="179" customFormat="1" ht="14.25" x14ac:dyDescent="0.2">
      <c r="A1" s="568" t="s">
        <v>251</v>
      </c>
      <c r="B1" s="568"/>
      <c r="C1" s="568"/>
      <c r="D1" s="568"/>
      <c r="E1" s="568"/>
      <c r="F1" s="568"/>
      <c r="G1" s="568"/>
      <c r="H1" s="568"/>
      <c r="I1" s="176"/>
      <c r="J1" s="177"/>
      <c r="K1" s="178"/>
    </row>
    <row r="2" spans="1:13" ht="15" x14ac:dyDescent="0.2">
      <c r="A2" s="565" t="s">
        <v>252</v>
      </c>
      <c r="B2" s="565" t="s">
        <v>253</v>
      </c>
      <c r="C2" s="569" t="s">
        <v>254</v>
      </c>
      <c r="D2" s="569" t="s">
        <v>255</v>
      </c>
      <c r="E2" s="565" t="s">
        <v>18</v>
      </c>
      <c r="F2" s="565"/>
      <c r="G2" s="565"/>
      <c r="H2" s="565"/>
    </row>
    <row r="3" spans="1:13" ht="60" x14ac:dyDescent="0.2">
      <c r="A3" s="565"/>
      <c r="B3" s="565"/>
      <c r="C3" s="569"/>
      <c r="D3" s="569"/>
      <c r="E3" s="181" t="s">
        <v>951</v>
      </c>
      <c r="F3" s="181" t="s">
        <v>952</v>
      </c>
      <c r="G3" s="181" t="s">
        <v>953</v>
      </c>
      <c r="H3" s="181" t="s">
        <v>256</v>
      </c>
    </row>
    <row r="4" spans="1:13" ht="15" x14ac:dyDescent="0.2">
      <c r="A4" s="181">
        <v>1</v>
      </c>
      <c r="B4" s="181">
        <v>2</v>
      </c>
      <c r="C4" s="181">
        <v>3</v>
      </c>
      <c r="D4" s="181">
        <v>4</v>
      </c>
      <c r="E4" s="181">
        <v>5</v>
      </c>
      <c r="F4" s="181">
        <v>6</v>
      </c>
      <c r="G4" s="181">
        <v>7</v>
      </c>
      <c r="H4" s="181">
        <v>8</v>
      </c>
    </row>
    <row r="5" spans="1:13" ht="15" x14ac:dyDescent="0.2">
      <c r="A5" s="182" t="s">
        <v>257</v>
      </c>
      <c r="B5" s="181">
        <v>1</v>
      </c>
      <c r="C5" s="181" t="s">
        <v>258</v>
      </c>
      <c r="D5" s="181" t="s">
        <v>258</v>
      </c>
      <c r="E5" s="266">
        <f>'Раздел 3 (новый) '!F175</f>
        <v>4796426.38</v>
      </c>
      <c r="F5" s="266">
        <v>0</v>
      </c>
      <c r="G5" s="266">
        <v>0</v>
      </c>
      <c r="H5" s="266">
        <v>0</v>
      </c>
    </row>
    <row r="6" spans="1:13" ht="15" x14ac:dyDescent="0.2">
      <c r="A6" s="182" t="s">
        <v>259</v>
      </c>
      <c r="B6" s="181">
        <v>2</v>
      </c>
      <c r="C6" s="181" t="s">
        <v>258</v>
      </c>
      <c r="D6" s="181" t="s">
        <v>258</v>
      </c>
      <c r="E6" s="266">
        <v>0</v>
      </c>
      <c r="F6" s="266">
        <v>0</v>
      </c>
      <c r="G6" s="266">
        <v>0</v>
      </c>
      <c r="H6" s="266">
        <v>0</v>
      </c>
    </row>
    <row r="7" spans="1:13" ht="15" x14ac:dyDescent="0.2">
      <c r="A7" s="269" t="s">
        <v>260</v>
      </c>
      <c r="B7" s="270">
        <v>1000</v>
      </c>
      <c r="C7" s="269"/>
      <c r="D7" s="269"/>
      <c r="E7" s="271">
        <f>E8+E11+E16+E18+E20+E25+E28</f>
        <v>179778678.84</v>
      </c>
      <c r="F7" s="271">
        <f>F8+F11+F16+F18+F20+F25+F28</f>
        <v>164060675</v>
      </c>
      <c r="G7" s="271">
        <f t="shared" ref="G7" si="0">G8+G11+G16+G18+G20+G25+G28</f>
        <v>162830365</v>
      </c>
      <c r="H7" s="271">
        <f>H8+H11+H16+H18+H20+H25</f>
        <v>0</v>
      </c>
      <c r="J7" s="342">
        <f>E5+E7-E32</f>
        <v>384931.77000001073</v>
      </c>
      <c r="L7" s="342">
        <f>F7-F32</f>
        <v>0</v>
      </c>
      <c r="M7" s="342">
        <f>G7-G32</f>
        <v>0</v>
      </c>
    </row>
    <row r="8" spans="1:13" ht="15" x14ac:dyDescent="0.2">
      <c r="A8" s="184" t="s">
        <v>215</v>
      </c>
      <c r="B8" s="565">
        <v>1100</v>
      </c>
      <c r="C8" s="565">
        <v>120</v>
      </c>
      <c r="D8" s="566"/>
      <c r="E8" s="567">
        <f>'Раздел 3 (новый) '!O100</f>
        <v>15758487.24</v>
      </c>
      <c r="F8" s="570">
        <v>15701875</v>
      </c>
      <c r="G8" s="570">
        <v>15701875</v>
      </c>
      <c r="H8" s="570">
        <v>0</v>
      </c>
    </row>
    <row r="9" spans="1:13" ht="15" x14ac:dyDescent="0.2">
      <c r="A9" s="184" t="s">
        <v>261</v>
      </c>
      <c r="B9" s="565"/>
      <c r="C9" s="565"/>
      <c r="D9" s="566"/>
      <c r="E9" s="567"/>
      <c r="F9" s="571"/>
      <c r="G9" s="571"/>
      <c r="H9" s="571"/>
    </row>
    <row r="10" spans="1:13" ht="15" x14ac:dyDescent="0.2">
      <c r="A10" s="185" t="s">
        <v>215</v>
      </c>
      <c r="B10" s="181">
        <v>1110</v>
      </c>
      <c r="C10" s="183"/>
      <c r="D10" s="183"/>
      <c r="E10" s="266"/>
      <c r="F10" s="266"/>
      <c r="G10" s="266"/>
      <c r="H10" s="266"/>
    </row>
    <row r="11" spans="1:13" ht="30" x14ac:dyDescent="0.2">
      <c r="A11" s="184" t="s">
        <v>262</v>
      </c>
      <c r="B11" s="181">
        <v>1200</v>
      </c>
      <c r="C11" s="181">
        <v>130</v>
      </c>
      <c r="D11" s="183"/>
      <c r="E11" s="266">
        <f>E12+E14</f>
        <v>113585500.00000001</v>
      </c>
      <c r="F11" s="266">
        <f t="shared" ref="F11:H11" si="1">F12+F14</f>
        <v>113585500.00000001</v>
      </c>
      <c r="G11" s="266">
        <f t="shared" si="1"/>
        <v>113585500.00000001</v>
      </c>
      <c r="H11" s="266">
        <f t="shared" si="1"/>
        <v>0</v>
      </c>
      <c r="J11" s="342">
        <f>E11-F11</f>
        <v>0</v>
      </c>
    </row>
    <row r="12" spans="1:13" ht="15" x14ac:dyDescent="0.2">
      <c r="A12" s="185" t="s">
        <v>215</v>
      </c>
      <c r="B12" s="565">
        <v>1210</v>
      </c>
      <c r="C12" s="565">
        <v>130</v>
      </c>
      <c r="D12" s="566"/>
      <c r="E12" s="567">
        <f>'Раздел 3 (новый) '!L100</f>
        <v>113585500.00000001</v>
      </c>
      <c r="F12" s="567">
        <f>E12</f>
        <v>113585500.00000001</v>
      </c>
      <c r="G12" s="567">
        <f>F12</f>
        <v>113585500.00000001</v>
      </c>
      <c r="H12" s="567">
        <v>0</v>
      </c>
    </row>
    <row r="13" spans="1:13" ht="60" x14ac:dyDescent="0.2">
      <c r="A13" s="185" t="s">
        <v>263</v>
      </c>
      <c r="B13" s="565"/>
      <c r="C13" s="565"/>
      <c r="D13" s="566"/>
      <c r="E13" s="567"/>
      <c r="F13" s="567"/>
      <c r="G13" s="567"/>
      <c r="H13" s="567"/>
    </row>
    <row r="14" spans="1:13" ht="60" x14ac:dyDescent="0.2">
      <c r="A14" s="185" t="s">
        <v>264</v>
      </c>
      <c r="B14" s="181">
        <v>1220</v>
      </c>
      <c r="C14" s="181">
        <v>130</v>
      </c>
      <c r="D14" s="183"/>
      <c r="E14" s="266">
        <v>0</v>
      </c>
      <c r="F14" s="266">
        <v>0</v>
      </c>
      <c r="G14" s="266">
        <v>0</v>
      </c>
      <c r="H14" s="266">
        <v>0</v>
      </c>
    </row>
    <row r="15" spans="1:13" ht="15" x14ac:dyDescent="0.2">
      <c r="A15" s="183"/>
      <c r="B15" s="183"/>
      <c r="C15" s="183"/>
      <c r="D15" s="183"/>
      <c r="E15" s="266"/>
      <c r="F15" s="266"/>
      <c r="G15" s="266"/>
      <c r="H15" s="266"/>
    </row>
    <row r="16" spans="1:13" ht="30" x14ac:dyDescent="0.2">
      <c r="A16" s="184" t="s">
        <v>265</v>
      </c>
      <c r="B16" s="181">
        <v>1300</v>
      </c>
      <c r="C16" s="181">
        <v>140</v>
      </c>
      <c r="D16" s="183"/>
      <c r="E16" s="266">
        <v>0</v>
      </c>
      <c r="F16" s="266">
        <v>0</v>
      </c>
      <c r="G16" s="266">
        <v>0</v>
      </c>
      <c r="H16" s="266">
        <v>0</v>
      </c>
    </row>
    <row r="17" spans="1:8" ht="15" x14ac:dyDescent="0.2">
      <c r="A17" s="185" t="s">
        <v>215</v>
      </c>
      <c r="B17" s="181">
        <v>1310</v>
      </c>
      <c r="C17" s="181">
        <v>140</v>
      </c>
      <c r="D17" s="183"/>
      <c r="E17" s="266"/>
      <c r="F17" s="266"/>
      <c r="G17" s="266"/>
      <c r="H17" s="266"/>
    </row>
    <row r="18" spans="1:8" ht="15" x14ac:dyDescent="0.2">
      <c r="A18" s="184" t="s">
        <v>266</v>
      </c>
      <c r="B18" s="181">
        <v>1400</v>
      </c>
      <c r="C18" s="181">
        <v>150</v>
      </c>
      <c r="D18" s="183"/>
      <c r="E18" s="266">
        <f>'Раздел 3 (новый) '!P116</f>
        <v>3328931.6</v>
      </c>
      <c r="F18" s="266">
        <v>0</v>
      </c>
      <c r="G18" s="266">
        <v>0</v>
      </c>
      <c r="H18" s="266">
        <v>0</v>
      </c>
    </row>
    <row r="19" spans="1:8" ht="15" x14ac:dyDescent="0.2">
      <c r="A19" s="185" t="s">
        <v>215</v>
      </c>
      <c r="B19" s="183"/>
      <c r="C19" s="183"/>
      <c r="D19" s="183"/>
      <c r="E19" s="266"/>
      <c r="F19" s="266"/>
      <c r="G19" s="266"/>
      <c r="H19" s="266"/>
    </row>
    <row r="20" spans="1:8" ht="15" x14ac:dyDescent="0.2">
      <c r="A20" s="184" t="s">
        <v>267</v>
      </c>
      <c r="B20" s="181">
        <v>1500</v>
      </c>
      <c r="C20" s="181">
        <v>180</v>
      </c>
      <c r="D20" s="183"/>
      <c r="E20" s="266">
        <f>E21+E23</f>
        <v>47105760</v>
      </c>
      <c r="F20" s="266">
        <f t="shared" ref="F20:H20" si="2">F21+F23</f>
        <v>34773300</v>
      </c>
      <c r="G20" s="266">
        <f t="shared" si="2"/>
        <v>33542990</v>
      </c>
      <c r="H20" s="266">
        <f t="shared" si="2"/>
        <v>0</v>
      </c>
    </row>
    <row r="21" spans="1:8" ht="15" x14ac:dyDescent="0.2">
      <c r="A21" s="185" t="s">
        <v>215</v>
      </c>
      <c r="B21" s="565">
        <v>1510</v>
      </c>
      <c r="C21" s="565">
        <v>180</v>
      </c>
      <c r="D21" s="566"/>
      <c r="E21" s="567">
        <f>'Раздел 3 (новый) '!N100-E23</f>
        <v>47105760</v>
      </c>
      <c r="F21" s="567">
        <v>34773300</v>
      </c>
      <c r="G21" s="567">
        <v>33542990</v>
      </c>
      <c r="H21" s="567"/>
    </row>
    <row r="22" spans="1:8" ht="15" x14ac:dyDescent="0.2">
      <c r="A22" s="185" t="s">
        <v>268</v>
      </c>
      <c r="B22" s="565"/>
      <c r="C22" s="565"/>
      <c r="D22" s="566"/>
      <c r="E22" s="567"/>
      <c r="F22" s="567"/>
      <c r="G22" s="567"/>
      <c r="H22" s="567"/>
    </row>
    <row r="23" spans="1:8" ht="30" x14ac:dyDescent="0.2">
      <c r="A23" s="185" t="s">
        <v>269</v>
      </c>
      <c r="B23" s="181">
        <v>1520</v>
      </c>
      <c r="C23" s="181">
        <v>180</v>
      </c>
      <c r="D23" s="183"/>
      <c r="E23" s="266">
        <f>'Раздел 3 (новый) '!N154</f>
        <v>0</v>
      </c>
      <c r="F23" s="266">
        <v>0</v>
      </c>
      <c r="G23" s="266">
        <v>0</v>
      </c>
      <c r="H23" s="266">
        <v>0</v>
      </c>
    </row>
    <row r="24" spans="1:8" ht="15" x14ac:dyDescent="0.2">
      <c r="A24" s="183"/>
      <c r="B24" s="183"/>
      <c r="C24" s="183"/>
      <c r="D24" s="183"/>
      <c r="E24" s="266"/>
      <c r="F24" s="266"/>
      <c r="G24" s="266"/>
      <c r="H24" s="266"/>
    </row>
    <row r="25" spans="1:8" ht="15" x14ac:dyDescent="0.2">
      <c r="A25" s="184" t="s">
        <v>270</v>
      </c>
      <c r="B25" s="181">
        <v>1900</v>
      </c>
      <c r="C25" s="183"/>
      <c r="D25" s="183"/>
      <c r="E25" s="266">
        <v>0</v>
      </c>
      <c r="F25" s="266">
        <v>0</v>
      </c>
      <c r="G25" s="266">
        <v>0</v>
      </c>
      <c r="H25" s="266">
        <v>0</v>
      </c>
    </row>
    <row r="26" spans="1:8" ht="15" x14ac:dyDescent="0.2">
      <c r="A26" s="185" t="s">
        <v>215</v>
      </c>
      <c r="B26" s="183"/>
      <c r="C26" s="183"/>
      <c r="D26" s="183"/>
      <c r="E26" s="266"/>
      <c r="F26" s="266"/>
      <c r="G26" s="266"/>
      <c r="H26" s="266"/>
    </row>
    <row r="27" spans="1:8" ht="15" x14ac:dyDescent="0.2">
      <c r="A27" s="183"/>
      <c r="B27" s="183"/>
      <c r="C27" s="183"/>
      <c r="D27" s="183"/>
      <c r="E27" s="266"/>
      <c r="F27" s="266"/>
      <c r="G27" s="266"/>
      <c r="H27" s="266"/>
    </row>
    <row r="28" spans="1:8" ht="15" x14ac:dyDescent="0.2">
      <c r="A28" s="186" t="s">
        <v>271</v>
      </c>
      <c r="B28" s="181">
        <v>1980</v>
      </c>
      <c r="C28" s="181" t="s">
        <v>258</v>
      </c>
      <c r="D28" s="183"/>
      <c r="E28" s="266">
        <f>E29</f>
        <v>0</v>
      </c>
      <c r="F28" s="266">
        <f t="shared" ref="F28:H28" si="3">F29</f>
        <v>0</v>
      </c>
      <c r="G28" s="266">
        <f t="shared" si="3"/>
        <v>0</v>
      </c>
      <c r="H28" s="268" t="str">
        <f t="shared" si="3"/>
        <v>x</v>
      </c>
    </row>
    <row r="29" spans="1:8" ht="15" x14ac:dyDescent="0.2">
      <c r="A29" s="185" t="s">
        <v>272</v>
      </c>
      <c r="B29" s="565">
        <v>1981</v>
      </c>
      <c r="C29" s="565">
        <v>510</v>
      </c>
      <c r="D29" s="566"/>
      <c r="E29" s="567">
        <v>0</v>
      </c>
      <c r="F29" s="567">
        <v>0</v>
      </c>
      <c r="G29" s="567">
        <v>0</v>
      </c>
      <c r="H29" s="564" t="s">
        <v>258</v>
      </c>
    </row>
    <row r="30" spans="1:8" ht="45" x14ac:dyDescent="0.2">
      <c r="A30" s="185" t="s">
        <v>273</v>
      </c>
      <c r="B30" s="565"/>
      <c r="C30" s="565"/>
      <c r="D30" s="566"/>
      <c r="E30" s="567"/>
      <c r="F30" s="567"/>
      <c r="G30" s="567"/>
      <c r="H30" s="564"/>
    </row>
    <row r="31" spans="1:8" ht="15" x14ac:dyDescent="0.2">
      <c r="A31" s="183"/>
      <c r="B31" s="183"/>
      <c r="C31" s="183"/>
      <c r="D31" s="183"/>
      <c r="E31" s="266"/>
      <c r="F31" s="266"/>
      <c r="G31" s="266"/>
      <c r="H31" s="266"/>
    </row>
    <row r="32" spans="1:8" ht="15" x14ac:dyDescent="0.2">
      <c r="A32" s="269" t="s">
        <v>274</v>
      </c>
      <c r="B32" s="270">
        <v>2000</v>
      </c>
      <c r="C32" s="270" t="s">
        <v>258</v>
      </c>
      <c r="D32" s="269"/>
      <c r="E32" s="271">
        <f>E33+E49+E58+E63+E68+E70</f>
        <v>184190173.44999999</v>
      </c>
      <c r="F32" s="271">
        <f t="shared" ref="F32:G32" si="4">F33+F49+F58+F63+F68+F70</f>
        <v>164060675</v>
      </c>
      <c r="G32" s="271">
        <f t="shared" si="4"/>
        <v>162830365</v>
      </c>
      <c r="H32" s="271">
        <v>0</v>
      </c>
    </row>
    <row r="33" spans="1:8" ht="15" x14ac:dyDescent="0.2">
      <c r="A33" s="184" t="s">
        <v>215</v>
      </c>
      <c r="B33" s="565">
        <v>2100</v>
      </c>
      <c r="C33" s="565" t="s">
        <v>258</v>
      </c>
      <c r="D33" s="566"/>
      <c r="E33" s="567">
        <f>E35+E37+E39</f>
        <v>124438804.48999999</v>
      </c>
      <c r="F33" s="567">
        <f t="shared" ref="F33:G33" si="5">F35+F37+F39</f>
        <v>123726740.33999999</v>
      </c>
      <c r="G33" s="567">
        <f t="shared" si="5"/>
        <v>122693140.33999999</v>
      </c>
      <c r="H33" s="564" t="s">
        <v>258</v>
      </c>
    </row>
    <row r="34" spans="1:8" ht="15" x14ac:dyDescent="0.2">
      <c r="A34" s="184" t="s">
        <v>275</v>
      </c>
      <c r="B34" s="565"/>
      <c r="C34" s="565"/>
      <c r="D34" s="566"/>
      <c r="E34" s="567"/>
      <c r="F34" s="567"/>
      <c r="G34" s="567"/>
      <c r="H34" s="564"/>
    </row>
    <row r="35" spans="1:8" ht="15" x14ac:dyDescent="0.2">
      <c r="A35" s="185" t="s">
        <v>215</v>
      </c>
      <c r="B35" s="565">
        <v>2110</v>
      </c>
      <c r="C35" s="565">
        <v>111</v>
      </c>
      <c r="D35" s="566"/>
      <c r="E35" s="567">
        <f>'Раздел 3 (новый) '!F9+'Раздел 3 (новый) '!F10</f>
        <v>93390846.129999995</v>
      </c>
      <c r="F35" s="567">
        <v>93064195.729999989</v>
      </c>
      <c r="G35" s="567">
        <v>93064195.729999989</v>
      </c>
      <c r="H35" s="564" t="s">
        <v>258</v>
      </c>
    </row>
    <row r="36" spans="1:8" ht="15" x14ac:dyDescent="0.2">
      <c r="A36" s="185" t="s">
        <v>276</v>
      </c>
      <c r="B36" s="565"/>
      <c r="C36" s="565"/>
      <c r="D36" s="566"/>
      <c r="E36" s="567"/>
      <c r="F36" s="567"/>
      <c r="G36" s="567"/>
      <c r="H36" s="564"/>
    </row>
    <row r="37" spans="1:8" ht="30" x14ac:dyDescent="0.2">
      <c r="A37" s="185" t="s">
        <v>277</v>
      </c>
      <c r="B37" s="181">
        <v>2120</v>
      </c>
      <c r="C37" s="181">
        <v>112</v>
      </c>
      <c r="D37" s="183"/>
      <c r="E37" s="266">
        <f>'Раздел 3 (новый) '!F11+'Раздел 3 (новый) '!F12+'Раздел 3 (новый) '!F13</f>
        <v>4201394.24</v>
      </c>
      <c r="F37" s="266">
        <v>2842400</v>
      </c>
      <c r="G37" s="266">
        <v>1808800</v>
      </c>
      <c r="H37" s="268" t="s">
        <v>258</v>
      </c>
    </row>
    <row r="38" spans="1:8" ht="45" x14ac:dyDescent="0.2">
      <c r="A38" s="185" t="s">
        <v>278</v>
      </c>
      <c r="B38" s="181">
        <v>2130</v>
      </c>
      <c r="C38" s="181">
        <v>113</v>
      </c>
      <c r="D38" s="183"/>
      <c r="E38" s="266"/>
      <c r="F38" s="266"/>
      <c r="G38" s="266"/>
      <c r="H38" s="268" t="s">
        <v>258</v>
      </c>
    </row>
    <row r="39" spans="1:8" ht="60" x14ac:dyDescent="0.2">
      <c r="A39" s="185" t="s">
        <v>279</v>
      </c>
      <c r="B39" s="181">
        <v>2140</v>
      </c>
      <c r="C39" s="181">
        <v>119</v>
      </c>
      <c r="D39" s="183"/>
      <c r="E39" s="266">
        <f>E40</f>
        <v>26846564.120000001</v>
      </c>
      <c r="F39" s="266">
        <f t="shared" ref="F39:G39" si="6">F40</f>
        <v>27820144.609999999</v>
      </c>
      <c r="G39" s="266">
        <f t="shared" si="6"/>
        <v>27820144.609999999</v>
      </c>
      <c r="H39" s="268" t="s">
        <v>258</v>
      </c>
    </row>
    <row r="40" spans="1:8" ht="15" x14ac:dyDescent="0.2">
      <c r="A40" s="187" t="s">
        <v>215</v>
      </c>
      <c r="B40" s="565">
        <v>2141</v>
      </c>
      <c r="C40" s="565">
        <v>119</v>
      </c>
      <c r="D40" s="566"/>
      <c r="E40" s="567">
        <f>'Раздел 3 (новый) '!F14</f>
        <v>26846564.120000001</v>
      </c>
      <c r="F40" s="567">
        <v>27820144.609999999</v>
      </c>
      <c r="G40" s="567">
        <v>27820144.609999999</v>
      </c>
      <c r="H40" s="564" t="s">
        <v>258</v>
      </c>
    </row>
    <row r="41" spans="1:8" ht="15" x14ac:dyDescent="0.2">
      <c r="A41" s="187" t="s">
        <v>280</v>
      </c>
      <c r="B41" s="565"/>
      <c r="C41" s="565"/>
      <c r="D41" s="566"/>
      <c r="E41" s="567"/>
      <c r="F41" s="567"/>
      <c r="G41" s="567"/>
      <c r="H41" s="564"/>
    </row>
    <row r="42" spans="1:8" ht="15" x14ac:dyDescent="0.2">
      <c r="A42" s="187" t="s">
        <v>281</v>
      </c>
      <c r="B42" s="181">
        <v>2142</v>
      </c>
      <c r="C42" s="181">
        <v>119</v>
      </c>
      <c r="D42" s="183"/>
      <c r="E42" s="266"/>
      <c r="F42" s="266"/>
      <c r="G42" s="266"/>
      <c r="H42" s="268" t="s">
        <v>258</v>
      </c>
    </row>
    <row r="43" spans="1:8" ht="30" x14ac:dyDescent="0.2">
      <c r="A43" s="185" t="s">
        <v>282</v>
      </c>
      <c r="B43" s="181">
        <v>2150</v>
      </c>
      <c r="C43" s="181">
        <v>131</v>
      </c>
      <c r="D43" s="183"/>
      <c r="E43" s="266"/>
      <c r="F43" s="266"/>
      <c r="G43" s="266"/>
      <c r="H43" s="268" t="s">
        <v>258</v>
      </c>
    </row>
    <row r="44" spans="1:8" ht="30" x14ac:dyDescent="0.2">
      <c r="A44" s="185" t="s">
        <v>283</v>
      </c>
      <c r="B44" s="181">
        <v>2160</v>
      </c>
      <c r="C44" s="181">
        <v>134</v>
      </c>
      <c r="D44" s="183"/>
      <c r="E44" s="266"/>
      <c r="F44" s="266"/>
      <c r="G44" s="266"/>
      <c r="H44" s="268" t="s">
        <v>258</v>
      </c>
    </row>
    <row r="45" spans="1:8" ht="45" x14ac:dyDescent="0.2">
      <c r="A45" s="185" t="s">
        <v>284</v>
      </c>
      <c r="B45" s="181">
        <v>2170</v>
      </c>
      <c r="C45" s="181">
        <v>139</v>
      </c>
      <c r="D45" s="183"/>
      <c r="E45" s="266"/>
      <c r="F45" s="266"/>
      <c r="G45" s="266"/>
      <c r="H45" s="268" t="s">
        <v>258</v>
      </c>
    </row>
    <row r="46" spans="1:8" ht="15" x14ac:dyDescent="0.2">
      <c r="A46" s="187" t="s">
        <v>215</v>
      </c>
      <c r="B46" s="565">
        <v>2171</v>
      </c>
      <c r="C46" s="565">
        <v>139</v>
      </c>
      <c r="D46" s="566"/>
      <c r="E46" s="567"/>
      <c r="F46" s="567"/>
      <c r="G46" s="567"/>
      <c r="H46" s="564" t="s">
        <v>258</v>
      </c>
    </row>
    <row r="47" spans="1:8" ht="15" x14ac:dyDescent="0.2">
      <c r="A47" s="187" t="s">
        <v>285</v>
      </c>
      <c r="B47" s="565"/>
      <c r="C47" s="565"/>
      <c r="D47" s="566"/>
      <c r="E47" s="567"/>
      <c r="F47" s="567"/>
      <c r="G47" s="567"/>
      <c r="H47" s="564"/>
    </row>
    <row r="48" spans="1:8" ht="30" x14ac:dyDescent="0.2">
      <c r="A48" s="187" t="s">
        <v>286</v>
      </c>
      <c r="B48" s="181">
        <v>2172</v>
      </c>
      <c r="C48" s="181">
        <v>139</v>
      </c>
      <c r="D48" s="183"/>
      <c r="E48" s="266"/>
      <c r="F48" s="266"/>
      <c r="G48" s="266"/>
      <c r="H48" s="268" t="s">
        <v>258</v>
      </c>
    </row>
    <row r="49" spans="1:8" ht="15" x14ac:dyDescent="0.2">
      <c r="A49" s="184" t="s">
        <v>287</v>
      </c>
      <c r="B49" s="181">
        <v>2200</v>
      </c>
      <c r="C49" s="181">
        <v>300</v>
      </c>
      <c r="D49" s="183"/>
      <c r="E49" s="266">
        <f>E50+E55+E56+E57</f>
        <v>125600</v>
      </c>
      <c r="F49" s="266">
        <f t="shared" ref="F49:G49" si="7">F50+F55+F56+F57</f>
        <v>393600</v>
      </c>
      <c r="G49" s="266">
        <f t="shared" si="7"/>
        <v>393600</v>
      </c>
      <c r="H49" s="268" t="s">
        <v>258</v>
      </c>
    </row>
    <row r="50" spans="1:8" ht="15" x14ac:dyDescent="0.2">
      <c r="A50" s="185" t="s">
        <v>215</v>
      </c>
      <c r="B50" s="565">
        <v>2210</v>
      </c>
      <c r="C50" s="565">
        <v>320</v>
      </c>
      <c r="D50" s="566"/>
      <c r="E50" s="567">
        <f>E52</f>
        <v>0</v>
      </c>
      <c r="F50" s="567">
        <f t="shared" ref="F50:G50" si="8">F52</f>
        <v>288000</v>
      </c>
      <c r="G50" s="567">
        <f t="shared" si="8"/>
        <v>288000</v>
      </c>
      <c r="H50" s="564" t="s">
        <v>258</v>
      </c>
    </row>
    <row r="51" spans="1:8" ht="30" x14ac:dyDescent="0.2">
      <c r="A51" s="185" t="s">
        <v>288</v>
      </c>
      <c r="B51" s="565"/>
      <c r="C51" s="565"/>
      <c r="D51" s="566"/>
      <c r="E51" s="567"/>
      <c r="F51" s="567"/>
      <c r="G51" s="567"/>
      <c r="H51" s="564"/>
    </row>
    <row r="52" spans="1:8" ht="15" x14ac:dyDescent="0.2">
      <c r="A52" s="187" t="s">
        <v>272</v>
      </c>
      <c r="B52" s="565">
        <v>2211</v>
      </c>
      <c r="C52" s="565">
        <v>321</v>
      </c>
      <c r="D52" s="566"/>
      <c r="E52" s="567">
        <f>'Раздел 3 (новый) '!F44-E57</f>
        <v>0</v>
      </c>
      <c r="F52" s="567">
        <v>288000</v>
      </c>
      <c r="G52" s="567">
        <v>288000</v>
      </c>
      <c r="H52" s="564" t="s">
        <v>258</v>
      </c>
    </row>
    <row r="53" spans="1:8" ht="45" x14ac:dyDescent="0.2">
      <c r="A53" s="187" t="s">
        <v>289</v>
      </c>
      <c r="B53" s="565"/>
      <c r="C53" s="565"/>
      <c r="D53" s="566"/>
      <c r="E53" s="567"/>
      <c r="F53" s="567"/>
      <c r="G53" s="567"/>
      <c r="H53" s="564"/>
    </row>
    <row r="54" spans="1:8" ht="15" x14ac:dyDescent="0.2">
      <c r="A54" s="183"/>
      <c r="B54" s="183"/>
      <c r="C54" s="183"/>
      <c r="D54" s="183"/>
      <c r="E54" s="266"/>
      <c r="F54" s="266"/>
      <c r="G54" s="266"/>
      <c r="H54" s="266"/>
    </row>
    <row r="55" spans="1:8" ht="60" x14ac:dyDescent="0.2">
      <c r="A55" s="185" t="s">
        <v>290</v>
      </c>
      <c r="B55" s="181">
        <v>2220</v>
      </c>
      <c r="C55" s="181">
        <v>340</v>
      </c>
      <c r="D55" s="183"/>
      <c r="E55" s="266"/>
      <c r="F55" s="266"/>
      <c r="G55" s="266"/>
      <c r="H55" s="268" t="s">
        <v>258</v>
      </c>
    </row>
    <row r="56" spans="1:8" ht="75" x14ac:dyDescent="0.2">
      <c r="A56" s="185" t="s">
        <v>291</v>
      </c>
      <c r="B56" s="181">
        <v>2230</v>
      </c>
      <c r="C56" s="181">
        <v>350</v>
      </c>
      <c r="D56" s="183"/>
      <c r="E56" s="266"/>
      <c r="F56" s="266"/>
      <c r="G56" s="266"/>
      <c r="H56" s="268" t="s">
        <v>258</v>
      </c>
    </row>
    <row r="57" spans="1:8" ht="30" x14ac:dyDescent="0.2">
      <c r="A57" s="185" t="s">
        <v>292</v>
      </c>
      <c r="B57" s="181">
        <v>2240</v>
      </c>
      <c r="C57" s="181">
        <v>360</v>
      </c>
      <c r="D57" s="183"/>
      <c r="E57" s="266">
        <f>'Раздел 3 (новый) '!F49</f>
        <v>125600</v>
      </c>
      <c r="F57" s="266">
        <v>105600</v>
      </c>
      <c r="G57" s="266">
        <f>F57</f>
        <v>105600</v>
      </c>
      <c r="H57" s="268" t="s">
        <v>258</v>
      </c>
    </row>
    <row r="58" spans="1:8" ht="15" x14ac:dyDescent="0.2">
      <c r="A58" s="184" t="s">
        <v>293</v>
      </c>
      <c r="B58" s="181">
        <v>2300</v>
      </c>
      <c r="C58" s="181">
        <v>850</v>
      </c>
      <c r="D58" s="183"/>
      <c r="E58" s="266">
        <f>E59+E61+E62</f>
        <v>511822.25</v>
      </c>
      <c r="F58" s="266">
        <f t="shared" ref="F58:G58" si="9">F59+F61+F62</f>
        <v>470400</v>
      </c>
      <c r="G58" s="266">
        <f t="shared" si="9"/>
        <v>470400</v>
      </c>
      <c r="H58" s="268" t="s">
        <v>258</v>
      </c>
    </row>
    <row r="59" spans="1:8" ht="15" x14ac:dyDescent="0.2">
      <c r="A59" s="185" t="s">
        <v>272</v>
      </c>
      <c r="B59" s="565">
        <v>2310</v>
      </c>
      <c r="C59" s="565">
        <v>851</v>
      </c>
      <c r="D59" s="566"/>
      <c r="E59" s="567">
        <f>'Раздел 3 (новый) '!F54+'Раздел 3 (новый) '!F55</f>
        <v>374969</v>
      </c>
      <c r="F59" s="567">
        <v>470400</v>
      </c>
      <c r="G59" s="567">
        <f>F59</f>
        <v>470400</v>
      </c>
      <c r="H59" s="564" t="s">
        <v>258</v>
      </c>
    </row>
    <row r="60" spans="1:8" ht="30" x14ac:dyDescent="0.2">
      <c r="A60" s="185" t="s">
        <v>294</v>
      </c>
      <c r="B60" s="565"/>
      <c r="C60" s="565"/>
      <c r="D60" s="566"/>
      <c r="E60" s="567"/>
      <c r="F60" s="567"/>
      <c r="G60" s="567"/>
      <c r="H60" s="564"/>
    </row>
    <row r="61" spans="1:8" ht="45" x14ac:dyDescent="0.2">
      <c r="A61" s="185" t="s">
        <v>295</v>
      </c>
      <c r="B61" s="181">
        <v>2320</v>
      </c>
      <c r="C61" s="181">
        <v>852</v>
      </c>
      <c r="D61" s="183"/>
      <c r="E61" s="266">
        <f>'Раздел 3 (новый) '!F58</f>
        <v>136853.25</v>
      </c>
      <c r="F61" s="266">
        <v>0</v>
      </c>
      <c r="G61" s="266">
        <v>0</v>
      </c>
      <c r="H61" s="268" t="s">
        <v>258</v>
      </c>
    </row>
    <row r="62" spans="1:8" ht="30" x14ac:dyDescent="0.2">
      <c r="A62" s="185" t="s">
        <v>296</v>
      </c>
      <c r="B62" s="181">
        <v>2330</v>
      </c>
      <c r="C62" s="181">
        <v>853</v>
      </c>
      <c r="D62" s="183"/>
      <c r="E62" s="266">
        <f>'Раздел 3 (новый) '!F59</f>
        <v>0</v>
      </c>
      <c r="F62" s="266">
        <v>0</v>
      </c>
      <c r="G62" s="266">
        <v>0</v>
      </c>
      <c r="H62" s="268" t="s">
        <v>258</v>
      </c>
    </row>
    <row r="63" spans="1:8" ht="30" x14ac:dyDescent="0.2">
      <c r="A63" s="184" t="s">
        <v>297</v>
      </c>
      <c r="B63" s="181">
        <v>2400</v>
      </c>
      <c r="C63" s="181" t="s">
        <v>258</v>
      </c>
      <c r="D63" s="183"/>
      <c r="E63" s="266">
        <f>E64+E66+E67</f>
        <v>0</v>
      </c>
      <c r="F63" s="266">
        <f t="shared" ref="F63:G63" si="10">F64+F66+F67</f>
        <v>0</v>
      </c>
      <c r="G63" s="266">
        <f t="shared" si="10"/>
        <v>0</v>
      </c>
      <c r="H63" s="268" t="s">
        <v>258</v>
      </c>
    </row>
    <row r="64" spans="1:8" ht="15" x14ac:dyDescent="0.2">
      <c r="A64" s="185" t="s">
        <v>272</v>
      </c>
      <c r="B64" s="565">
        <v>2410</v>
      </c>
      <c r="C64" s="565">
        <v>810</v>
      </c>
      <c r="D64" s="566"/>
      <c r="E64" s="567"/>
      <c r="F64" s="567"/>
      <c r="G64" s="567"/>
      <c r="H64" s="564" t="s">
        <v>258</v>
      </c>
    </row>
    <row r="65" spans="1:8" ht="30" x14ac:dyDescent="0.2">
      <c r="A65" s="185" t="s">
        <v>298</v>
      </c>
      <c r="B65" s="565"/>
      <c r="C65" s="565"/>
      <c r="D65" s="566"/>
      <c r="E65" s="567"/>
      <c r="F65" s="567"/>
      <c r="G65" s="567"/>
      <c r="H65" s="564"/>
    </row>
    <row r="66" spans="1:8" ht="15" x14ac:dyDescent="0.2">
      <c r="A66" s="185" t="s">
        <v>299</v>
      </c>
      <c r="B66" s="181">
        <v>2420</v>
      </c>
      <c r="C66" s="181">
        <v>862</v>
      </c>
      <c r="D66" s="183"/>
      <c r="E66" s="266"/>
      <c r="F66" s="266"/>
      <c r="G66" s="266"/>
      <c r="H66" s="268" t="s">
        <v>258</v>
      </c>
    </row>
    <row r="67" spans="1:8" ht="45" x14ac:dyDescent="0.2">
      <c r="A67" s="185" t="s">
        <v>300</v>
      </c>
      <c r="B67" s="181">
        <v>2430</v>
      </c>
      <c r="C67" s="181">
        <v>863</v>
      </c>
      <c r="D67" s="183"/>
      <c r="E67" s="266"/>
      <c r="F67" s="266"/>
      <c r="G67" s="266"/>
      <c r="H67" s="268" t="s">
        <v>258</v>
      </c>
    </row>
    <row r="68" spans="1:8" ht="30" x14ac:dyDescent="0.2">
      <c r="A68" s="184" t="s">
        <v>301</v>
      </c>
      <c r="B68" s="181">
        <v>2500</v>
      </c>
      <c r="C68" s="181" t="s">
        <v>258</v>
      </c>
      <c r="D68" s="183"/>
      <c r="E68" s="266">
        <f>E69</f>
        <v>0</v>
      </c>
      <c r="F68" s="266">
        <f t="shared" ref="F68:G68" si="11">F69</f>
        <v>0</v>
      </c>
      <c r="G68" s="266">
        <f t="shared" si="11"/>
        <v>0</v>
      </c>
      <c r="H68" s="268" t="s">
        <v>258</v>
      </c>
    </row>
    <row r="69" spans="1:8" ht="60" x14ac:dyDescent="0.2">
      <c r="A69" s="185" t="s">
        <v>302</v>
      </c>
      <c r="B69" s="181">
        <v>2520</v>
      </c>
      <c r="C69" s="181">
        <v>831</v>
      </c>
      <c r="D69" s="183"/>
      <c r="E69" s="266"/>
      <c r="F69" s="266"/>
      <c r="G69" s="266"/>
      <c r="H69" s="268" t="s">
        <v>258</v>
      </c>
    </row>
    <row r="70" spans="1:8" ht="15" x14ac:dyDescent="0.2">
      <c r="A70" s="186" t="s">
        <v>303</v>
      </c>
      <c r="B70" s="181">
        <v>2600</v>
      </c>
      <c r="C70" s="181" t="s">
        <v>258</v>
      </c>
      <c r="D70" s="183"/>
      <c r="E70" s="266">
        <f>E71+E73+E74+E75+E77+E81</f>
        <v>59113946.710000008</v>
      </c>
      <c r="F70" s="266">
        <v>39469934.659999996</v>
      </c>
      <c r="G70" s="266">
        <v>39273224.659999996</v>
      </c>
      <c r="H70" s="266">
        <f t="shared" ref="H70" si="12">H71+H73+H74+H75+H77</f>
        <v>0</v>
      </c>
    </row>
    <row r="71" spans="1:8" ht="15" x14ac:dyDescent="0.2">
      <c r="A71" s="185" t="s">
        <v>215</v>
      </c>
      <c r="B71" s="565">
        <v>2610</v>
      </c>
      <c r="C71" s="565">
        <v>241</v>
      </c>
      <c r="D71" s="566"/>
      <c r="E71" s="567"/>
      <c r="F71" s="567"/>
      <c r="G71" s="567"/>
      <c r="H71" s="567"/>
    </row>
    <row r="72" spans="1:8" ht="30" x14ac:dyDescent="0.2">
      <c r="A72" s="185" t="s">
        <v>304</v>
      </c>
      <c r="B72" s="565"/>
      <c r="C72" s="565"/>
      <c r="D72" s="566"/>
      <c r="E72" s="567"/>
      <c r="F72" s="567"/>
      <c r="G72" s="567"/>
      <c r="H72" s="567"/>
    </row>
    <row r="73" spans="1:8" ht="30" x14ac:dyDescent="0.2">
      <c r="A73" s="185" t="s">
        <v>305</v>
      </c>
      <c r="B73" s="181">
        <v>2620</v>
      </c>
      <c r="C73" s="181">
        <v>242</v>
      </c>
      <c r="D73" s="183"/>
      <c r="E73" s="266"/>
      <c r="F73" s="266"/>
      <c r="G73" s="266"/>
      <c r="H73" s="266"/>
    </row>
    <row r="74" spans="1:8" ht="45" x14ac:dyDescent="0.2">
      <c r="A74" s="185" t="s">
        <v>306</v>
      </c>
      <c r="B74" s="181">
        <v>2630</v>
      </c>
      <c r="C74" s="181">
        <v>243</v>
      </c>
      <c r="D74" s="183"/>
      <c r="E74" s="266">
        <f>'Раздел 3 (новый) '!T40+'Раздел 3 (новый) '!F32</f>
        <v>5633516</v>
      </c>
      <c r="F74" s="266">
        <v>0</v>
      </c>
      <c r="G74" s="266">
        <v>0</v>
      </c>
      <c r="H74" s="266">
        <v>0</v>
      </c>
    </row>
    <row r="75" spans="1:8" ht="15" x14ac:dyDescent="0.2">
      <c r="A75" s="185" t="s">
        <v>307</v>
      </c>
      <c r="B75" s="181">
        <v>2640</v>
      </c>
      <c r="C75" s="181">
        <v>244</v>
      </c>
      <c r="D75" s="183"/>
      <c r="E75" s="266">
        <f>'Раздел 3 (новый) '!F15+'Раздел 3 (новый) '!F60-'Раздел 1'!E74-E81</f>
        <v>48931697.370000005</v>
      </c>
      <c r="F75" s="266">
        <v>36403880.939999998</v>
      </c>
      <c r="G75" s="511">
        <v>36207170.939999998</v>
      </c>
      <c r="H75" s="266"/>
    </row>
    <row r="76" spans="1:8" ht="15" x14ac:dyDescent="0.2">
      <c r="A76" s="187" t="s">
        <v>272</v>
      </c>
      <c r="B76" s="183"/>
      <c r="C76" s="183"/>
      <c r="D76" s="183"/>
      <c r="E76" s="266"/>
      <c r="F76" s="266"/>
      <c r="G76" s="266"/>
      <c r="H76" s="266"/>
    </row>
    <row r="77" spans="1:8" ht="30" x14ac:dyDescent="0.2">
      <c r="A77" s="185" t="s">
        <v>308</v>
      </c>
      <c r="B77" s="181">
        <v>2650</v>
      </c>
      <c r="C77" s="181">
        <v>400</v>
      </c>
      <c r="D77" s="183"/>
      <c r="E77" s="266">
        <f>E78+E80</f>
        <v>0</v>
      </c>
      <c r="F77" s="266">
        <f t="shared" ref="F77:H77" si="13">F78+F80</f>
        <v>0</v>
      </c>
      <c r="G77" s="266">
        <f t="shared" si="13"/>
        <v>0</v>
      </c>
      <c r="H77" s="266">
        <f t="shared" si="13"/>
        <v>0</v>
      </c>
    </row>
    <row r="78" spans="1:8" ht="15" x14ac:dyDescent="0.2">
      <c r="A78" s="187" t="s">
        <v>215</v>
      </c>
      <c r="B78" s="565">
        <v>2651</v>
      </c>
      <c r="C78" s="565">
        <v>406</v>
      </c>
      <c r="D78" s="566"/>
      <c r="E78" s="567"/>
      <c r="F78" s="567"/>
      <c r="G78" s="567"/>
      <c r="H78" s="567"/>
    </row>
    <row r="79" spans="1:8" ht="30" x14ac:dyDescent="0.2">
      <c r="A79" s="187" t="s">
        <v>309</v>
      </c>
      <c r="B79" s="565"/>
      <c r="C79" s="565"/>
      <c r="D79" s="566"/>
      <c r="E79" s="567"/>
      <c r="F79" s="567"/>
      <c r="G79" s="567"/>
      <c r="H79" s="567"/>
    </row>
    <row r="80" spans="1:8" ht="45" x14ac:dyDescent="0.2">
      <c r="A80" s="187" t="s">
        <v>310</v>
      </c>
      <c r="B80" s="181">
        <v>2652</v>
      </c>
      <c r="C80" s="181">
        <v>407</v>
      </c>
      <c r="D80" s="183"/>
      <c r="E80" s="266"/>
      <c r="F80" s="266"/>
      <c r="G80" s="266"/>
      <c r="H80" s="266"/>
    </row>
    <row r="81" spans="1:8" ht="15" x14ac:dyDescent="0.2">
      <c r="A81" s="187" t="s">
        <v>961</v>
      </c>
      <c r="B81" s="525">
        <v>2660</v>
      </c>
      <c r="C81" s="525">
        <v>247</v>
      </c>
      <c r="D81" s="526"/>
      <c r="E81" s="527">
        <v>4548733.34</v>
      </c>
      <c r="F81" s="527">
        <v>3066053.72</v>
      </c>
      <c r="G81" s="527">
        <f>F81</f>
        <v>3066053.72</v>
      </c>
      <c r="H81" s="527"/>
    </row>
    <row r="82" spans="1:8" ht="15" x14ac:dyDescent="0.2">
      <c r="A82" s="182" t="s">
        <v>311</v>
      </c>
      <c r="B82" s="181">
        <v>3000</v>
      </c>
      <c r="C82" s="181">
        <v>100</v>
      </c>
      <c r="D82" s="183"/>
      <c r="E82" s="266">
        <f>E83+E85+E86</f>
        <v>0</v>
      </c>
      <c r="F82" s="266">
        <f t="shared" ref="F82:G82" si="14">F83+F85+F86</f>
        <v>0</v>
      </c>
      <c r="G82" s="266">
        <f t="shared" si="14"/>
        <v>0</v>
      </c>
      <c r="H82" s="268" t="s">
        <v>258</v>
      </c>
    </row>
    <row r="83" spans="1:8" ht="15" x14ac:dyDescent="0.2">
      <c r="A83" s="185" t="s">
        <v>215</v>
      </c>
      <c r="B83" s="565">
        <v>3010</v>
      </c>
      <c r="C83" s="566"/>
      <c r="D83" s="566"/>
      <c r="E83" s="567"/>
      <c r="F83" s="567"/>
      <c r="G83" s="567"/>
      <c r="H83" s="564" t="s">
        <v>258</v>
      </c>
    </row>
    <row r="84" spans="1:8" x14ac:dyDescent="0.2">
      <c r="A84" s="188" t="s">
        <v>312</v>
      </c>
      <c r="B84" s="565"/>
      <c r="C84" s="566"/>
      <c r="D84" s="566"/>
      <c r="E84" s="567"/>
      <c r="F84" s="567"/>
      <c r="G84" s="567"/>
      <c r="H84" s="564"/>
    </row>
    <row r="85" spans="1:8" ht="15" x14ac:dyDescent="0.2">
      <c r="A85" s="188" t="s">
        <v>313</v>
      </c>
      <c r="B85" s="181">
        <v>3020</v>
      </c>
      <c r="C85" s="183"/>
      <c r="D85" s="183"/>
      <c r="E85" s="266"/>
      <c r="F85" s="266"/>
      <c r="G85" s="266"/>
      <c r="H85" s="268" t="s">
        <v>258</v>
      </c>
    </row>
    <row r="86" spans="1:8" ht="15" x14ac:dyDescent="0.2">
      <c r="A86" s="188" t="s">
        <v>314</v>
      </c>
      <c r="B86" s="181">
        <v>3030</v>
      </c>
      <c r="C86" s="183"/>
      <c r="D86" s="183"/>
      <c r="E86" s="266"/>
      <c r="F86" s="266"/>
      <c r="G86" s="266"/>
      <c r="H86" s="268" t="s">
        <v>258</v>
      </c>
    </row>
    <row r="87" spans="1:8" ht="15" x14ac:dyDescent="0.2">
      <c r="A87" s="182" t="s">
        <v>315</v>
      </c>
      <c r="B87" s="181">
        <v>4000</v>
      </c>
      <c r="C87" s="181" t="s">
        <v>258</v>
      </c>
      <c r="D87" s="183"/>
      <c r="E87" s="266">
        <f>E88</f>
        <v>384931.7699999999</v>
      </c>
      <c r="F87" s="266">
        <f t="shared" ref="F87:G87" si="15">F88</f>
        <v>0</v>
      </c>
      <c r="G87" s="266">
        <f t="shared" si="15"/>
        <v>0</v>
      </c>
      <c r="H87" s="268" t="s">
        <v>258</v>
      </c>
    </row>
    <row r="88" spans="1:8" ht="15" x14ac:dyDescent="0.2">
      <c r="A88" s="185" t="s">
        <v>272</v>
      </c>
      <c r="B88" s="565">
        <v>4010</v>
      </c>
      <c r="C88" s="565">
        <v>610</v>
      </c>
      <c r="D88" s="566"/>
      <c r="E88" s="567">
        <f>'Раздел 3 (новый) '!F182</f>
        <v>384931.7699999999</v>
      </c>
      <c r="F88" s="567">
        <v>0</v>
      </c>
      <c r="G88" s="567">
        <v>0</v>
      </c>
      <c r="H88" s="564" t="s">
        <v>258</v>
      </c>
    </row>
    <row r="89" spans="1:8" ht="15" x14ac:dyDescent="0.2">
      <c r="A89" s="185" t="s">
        <v>316</v>
      </c>
      <c r="B89" s="565"/>
      <c r="C89" s="565"/>
      <c r="D89" s="566"/>
      <c r="E89" s="567"/>
      <c r="F89" s="567"/>
      <c r="G89" s="567"/>
      <c r="H89" s="564"/>
    </row>
    <row r="90" spans="1:8" ht="15" x14ac:dyDescent="0.2">
      <c r="A90" s="183"/>
      <c r="B90" s="183"/>
      <c r="C90" s="183"/>
      <c r="D90" s="183"/>
      <c r="E90" s="266"/>
      <c r="F90" s="266"/>
      <c r="G90" s="266"/>
      <c r="H90" s="266"/>
    </row>
    <row r="92" spans="1:8" ht="15" x14ac:dyDescent="0.2">
      <c r="A92" s="189" t="s">
        <v>937</v>
      </c>
      <c r="C92" s="190"/>
      <c r="D92" s="191"/>
      <c r="E92" s="562" t="s">
        <v>941</v>
      </c>
      <c r="F92" s="562"/>
      <c r="G92" s="562"/>
    </row>
    <row r="93" spans="1:8" x14ac:dyDescent="0.2">
      <c r="A93" s="192" t="s">
        <v>317</v>
      </c>
      <c r="C93" s="193" t="s">
        <v>212</v>
      </c>
      <c r="D93" s="191"/>
      <c r="E93" s="563" t="s">
        <v>164</v>
      </c>
      <c r="F93" s="563"/>
      <c r="G93" s="563"/>
    </row>
    <row r="94" spans="1:8" ht="15" x14ac:dyDescent="0.2">
      <c r="A94" s="194" t="s">
        <v>318</v>
      </c>
    </row>
    <row r="95" spans="1:8" ht="15" x14ac:dyDescent="0.2">
      <c r="A95" s="194"/>
    </row>
    <row r="96" spans="1:8" ht="15" x14ac:dyDescent="0.2">
      <c r="A96" s="194" t="s">
        <v>319</v>
      </c>
      <c r="C96" s="190"/>
      <c r="D96" s="191"/>
      <c r="E96" s="562" t="s">
        <v>594</v>
      </c>
      <c r="F96" s="562"/>
      <c r="G96" s="562"/>
    </row>
    <row r="97" spans="1:7" ht="15" x14ac:dyDescent="0.2">
      <c r="A97" s="194"/>
      <c r="C97" s="193" t="s">
        <v>212</v>
      </c>
      <c r="D97" s="191"/>
      <c r="E97" s="563" t="s">
        <v>164</v>
      </c>
      <c r="F97" s="563"/>
      <c r="G97" s="563"/>
    </row>
    <row r="98" spans="1:7" ht="15" x14ac:dyDescent="0.2">
      <c r="A98" s="194"/>
    </row>
    <row r="99" spans="1:7" ht="15" x14ac:dyDescent="0.2">
      <c r="A99" s="194" t="s">
        <v>320</v>
      </c>
      <c r="C99" s="190"/>
      <c r="D99" s="191"/>
      <c r="E99" s="562" t="s">
        <v>941</v>
      </c>
      <c r="F99" s="562"/>
      <c r="G99" s="562"/>
    </row>
    <row r="100" spans="1:7" ht="15" x14ac:dyDescent="0.2">
      <c r="A100" s="194"/>
      <c r="C100" s="193" t="s">
        <v>212</v>
      </c>
      <c r="D100" s="191"/>
      <c r="E100" s="563" t="s">
        <v>164</v>
      </c>
      <c r="F100" s="563"/>
      <c r="G100" s="563"/>
    </row>
    <row r="101" spans="1:7" ht="15" x14ac:dyDescent="0.2">
      <c r="A101" s="194"/>
    </row>
    <row r="102" spans="1:7" ht="15" x14ac:dyDescent="0.2">
      <c r="A102" s="194" t="s">
        <v>321</v>
      </c>
    </row>
  </sheetData>
  <mergeCells count="124">
    <mergeCell ref="A1:H1"/>
    <mergeCell ref="A2:A3"/>
    <mergeCell ref="B2:B3"/>
    <mergeCell ref="C2:C3"/>
    <mergeCell ref="D2:D3"/>
    <mergeCell ref="E2:H2"/>
    <mergeCell ref="H8:H9"/>
    <mergeCell ref="B12:B13"/>
    <mergeCell ref="C12:C13"/>
    <mergeCell ref="D12:D13"/>
    <mergeCell ref="E12:E13"/>
    <mergeCell ref="F12:F13"/>
    <mergeCell ref="G12:G13"/>
    <mergeCell ref="H12:H13"/>
    <mergeCell ref="B8:B9"/>
    <mergeCell ref="C8:C9"/>
    <mergeCell ref="D8:D9"/>
    <mergeCell ref="E8:E9"/>
    <mergeCell ref="F8:F9"/>
    <mergeCell ref="G8:G9"/>
    <mergeCell ref="H21:H22"/>
    <mergeCell ref="B29:B30"/>
    <mergeCell ref="C29:C30"/>
    <mergeCell ref="D29:D30"/>
    <mergeCell ref="E29:E30"/>
    <mergeCell ref="F29:F30"/>
    <mergeCell ref="G29:G30"/>
    <mergeCell ref="H29:H30"/>
    <mergeCell ref="B21:B22"/>
    <mergeCell ref="C21:C22"/>
    <mergeCell ref="D21:D22"/>
    <mergeCell ref="E21:E22"/>
    <mergeCell ref="F21:F22"/>
    <mergeCell ref="G21:G22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6:B47"/>
    <mergeCell ref="C46:C47"/>
    <mergeCell ref="D46:D47"/>
    <mergeCell ref="E46:E47"/>
    <mergeCell ref="F46:F47"/>
    <mergeCell ref="G46:G47"/>
    <mergeCell ref="H46:H47"/>
    <mergeCell ref="B40:B41"/>
    <mergeCell ref="C40:C41"/>
    <mergeCell ref="D40:D41"/>
    <mergeCell ref="E40:E41"/>
    <mergeCell ref="F40:F41"/>
    <mergeCell ref="G40:G41"/>
    <mergeCell ref="H50:H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H59:H60"/>
    <mergeCell ref="B64:B65"/>
    <mergeCell ref="C64:C65"/>
    <mergeCell ref="D64:D65"/>
    <mergeCell ref="E64:E65"/>
    <mergeCell ref="F64:F65"/>
    <mergeCell ref="G64:G65"/>
    <mergeCell ref="H64:H65"/>
    <mergeCell ref="B59:B60"/>
    <mergeCell ref="C59:C60"/>
    <mergeCell ref="D59:D60"/>
    <mergeCell ref="E59:E60"/>
    <mergeCell ref="F59:F60"/>
    <mergeCell ref="G59:G60"/>
    <mergeCell ref="H71:H72"/>
    <mergeCell ref="B78:B79"/>
    <mergeCell ref="C78:C79"/>
    <mergeCell ref="D78:D79"/>
    <mergeCell ref="E78:E79"/>
    <mergeCell ref="F78:F79"/>
    <mergeCell ref="G78:G79"/>
    <mergeCell ref="H78:H79"/>
    <mergeCell ref="B71:B72"/>
    <mergeCell ref="C71:C72"/>
    <mergeCell ref="D71:D72"/>
    <mergeCell ref="E71:E72"/>
    <mergeCell ref="F71:F72"/>
    <mergeCell ref="G71:G72"/>
    <mergeCell ref="E92:G92"/>
    <mergeCell ref="E93:G93"/>
    <mergeCell ref="E96:G96"/>
    <mergeCell ref="E97:G97"/>
    <mergeCell ref="E99:G99"/>
    <mergeCell ref="E100:G100"/>
    <mergeCell ref="H83:H84"/>
    <mergeCell ref="B88:B89"/>
    <mergeCell ref="C88:C89"/>
    <mergeCell ref="D88:D89"/>
    <mergeCell ref="E88:E89"/>
    <mergeCell ref="F88:F89"/>
    <mergeCell ref="G88:G89"/>
    <mergeCell ref="H88:H89"/>
    <mergeCell ref="B83:B84"/>
    <mergeCell ref="C83:C84"/>
    <mergeCell ref="D83:D84"/>
    <mergeCell ref="E83:E84"/>
    <mergeCell ref="F83:F84"/>
    <mergeCell ref="G83:G84"/>
  </mergeCells>
  <hyperlinks>
    <hyperlink ref="C2" location="P636" display="P636" xr:uid="{00000000-0004-0000-0100-000000000000}"/>
    <hyperlink ref="D2" location="P652" display="P652" xr:uid="{00000000-0004-0000-0100-000001000000}"/>
    <hyperlink ref="A5" location="P660" display="P660" xr:uid="{00000000-0004-0000-0100-000002000000}"/>
    <hyperlink ref="A6" location="P660" display="P660" xr:uid="{00000000-0004-0000-0100-000003000000}"/>
    <hyperlink ref="A28" location="P666" display="P666" xr:uid="{00000000-0004-0000-0100-000004000000}"/>
    <hyperlink ref="A70" location="P674" display="P674" xr:uid="{00000000-0004-0000-0100-000005000000}"/>
    <hyperlink ref="A82" location="P678" display="P678" xr:uid="{00000000-0004-0000-0100-000006000000}"/>
    <hyperlink ref="A84" location="P678" display="P678" xr:uid="{00000000-0004-0000-0100-000007000000}"/>
    <hyperlink ref="A85" location="P678" display="P678" xr:uid="{00000000-0004-0000-0100-000008000000}"/>
    <hyperlink ref="A86" location="P678" display="P678" xr:uid="{00000000-0004-0000-0100-000009000000}"/>
    <hyperlink ref="A87" location="P679" display="P679" xr:uid="{00000000-0004-0000-0100-00000A000000}"/>
  </hyperlinks>
  <pageMargins left="0.70866141732283472" right="0" top="0.35433070866141736" bottom="0" header="0.31496062992125984" footer="0.31496062992125984"/>
  <pageSetup paperSize="9" scale="64" orientation="portrait" verticalDpi="4294967295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view="pageBreakPreview" zoomScaleNormal="100" zoomScaleSheetLayoutView="100" workbookViewId="0">
      <selection sqref="A1:H1"/>
    </sheetView>
  </sheetViews>
  <sheetFormatPr defaultRowHeight="12.75" x14ac:dyDescent="0.2"/>
  <cols>
    <col min="1" max="1" width="7.42578125" style="180" customWidth="1"/>
    <col min="2" max="2" width="81.85546875" style="180" customWidth="1"/>
    <col min="3" max="3" width="11.5703125" style="180" bestFit="1" customWidth="1"/>
    <col min="4" max="4" width="12.140625" style="180" customWidth="1"/>
    <col min="5" max="5" width="15.85546875" style="180" customWidth="1"/>
    <col min="6" max="6" width="19.140625" style="180" customWidth="1"/>
    <col min="7" max="7" width="18" style="180" customWidth="1"/>
    <col min="8" max="8" width="14.42578125" style="180" customWidth="1"/>
    <col min="9" max="256" width="9.140625" style="180"/>
    <col min="257" max="257" width="10.42578125" style="180" customWidth="1"/>
    <col min="258" max="258" width="70.28515625" style="180" customWidth="1"/>
    <col min="259" max="259" width="11.5703125" style="180" bestFit="1" customWidth="1"/>
    <col min="260" max="260" width="12.140625" style="180" customWidth="1"/>
    <col min="261" max="261" width="15.85546875" style="180" customWidth="1"/>
    <col min="262" max="262" width="19.140625" style="180" customWidth="1"/>
    <col min="263" max="263" width="18" style="180" customWidth="1"/>
    <col min="264" max="264" width="15.85546875" style="180" customWidth="1"/>
    <col min="265" max="512" width="9.140625" style="180"/>
    <col min="513" max="513" width="10.42578125" style="180" customWidth="1"/>
    <col min="514" max="514" width="70.28515625" style="180" customWidth="1"/>
    <col min="515" max="515" width="11.5703125" style="180" bestFit="1" customWidth="1"/>
    <col min="516" max="516" width="12.140625" style="180" customWidth="1"/>
    <col min="517" max="517" width="15.85546875" style="180" customWidth="1"/>
    <col min="518" max="518" width="19.140625" style="180" customWidth="1"/>
    <col min="519" max="519" width="18" style="180" customWidth="1"/>
    <col min="520" max="520" width="15.85546875" style="180" customWidth="1"/>
    <col min="521" max="768" width="9.140625" style="180"/>
    <col min="769" max="769" width="10.42578125" style="180" customWidth="1"/>
    <col min="770" max="770" width="70.28515625" style="180" customWidth="1"/>
    <col min="771" max="771" width="11.5703125" style="180" bestFit="1" customWidth="1"/>
    <col min="772" max="772" width="12.140625" style="180" customWidth="1"/>
    <col min="773" max="773" width="15.85546875" style="180" customWidth="1"/>
    <col min="774" max="774" width="19.140625" style="180" customWidth="1"/>
    <col min="775" max="775" width="18" style="180" customWidth="1"/>
    <col min="776" max="776" width="15.85546875" style="180" customWidth="1"/>
    <col min="777" max="1024" width="9.140625" style="180"/>
    <col min="1025" max="1025" width="10.42578125" style="180" customWidth="1"/>
    <col min="1026" max="1026" width="70.28515625" style="180" customWidth="1"/>
    <col min="1027" max="1027" width="11.5703125" style="180" bestFit="1" customWidth="1"/>
    <col min="1028" max="1028" width="12.140625" style="180" customWidth="1"/>
    <col min="1029" max="1029" width="15.85546875" style="180" customWidth="1"/>
    <col min="1030" max="1030" width="19.140625" style="180" customWidth="1"/>
    <col min="1031" max="1031" width="18" style="180" customWidth="1"/>
    <col min="1032" max="1032" width="15.85546875" style="180" customWidth="1"/>
    <col min="1033" max="1280" width="9.140625" style="180"/>
    <col min="1281" max="1281" width="10.42578125" style="180" customWidth="1"/>
    <col min="1282" max="1282" width="70.28515625" style="180" customWidth="1"/>
    <col min="1283" max="1283" width="11.5703125" style="180" bestFit="1" customWidth="1"/>
    <col min="1284" max="1284" width="12.140625" style="180" customWidth="1"/>
    <col min="1285" max="1285" width="15.85546875" style="180" customWidth="1"/>
    <col min="1286" max="1286" width="19.140625" style="180" customWidth="1"/>
    <col min="1287" max="1287" width="18" style="180" customWidth="1"/>
    <col min="1288" max="1288" width="15.85546875" style="180" customWidth="1"/>
    <col min="1289" max="1536" width="9.140625" style="180"/>
    <col min="1537" max="1537" width="10.42578125" style="180" customWidth="1"/>
    <col min="1538" max="1538" width="70.28515625" style="180" customWidth="1"/>
    <col min="1539" max="1539" width="11.5703125" style="180" bestFit="1" customWidth="1"/>
    <col min="1540" max="1540" width="12.140625" style="180" customWidth="1"/>
    <col min="1541" max="1541" width="15.85546875" style="180" customWidth="1"/>
    <col min="1542" max="1542" width="19.140625" style="180" customWidth="1"/>
    <col min="1543" max="1543" width="18" style="180" customWidth="1"/>
    <col min="1544" max="1544" width="15.85546875" style="180" customWidth="1"/>
    <col min="1545" max="1792" width="9.140625" style="180"/>
    <col min="1793" max="1793" width="10.42578125" style="180" customWidth="1"/>
    <col min="1794" max="1794" width="70.28515625" style="180" customWidth="1"/>
    <col min="1795" max="1795" width="11.5703125" style="180" bestFit="1" customWidth="1"/>
    <col min="1796" max="1796" width="12.140625" style="180" customWidth="1"/>
    <col min="1797" max="1797" width="15.85546875" style="180" customWidth="1"/>
    <col min="1798" max="1798" width="19.140625" style="180" customWidth="1"/>
    <col min="1799" max="1799" width="18" style="180" customWidth="1"/>
    <col min="1800" max="1800" width="15.85546875" style="180" customWidth="1"/>
    <col min="1801" max="2048" width="9.140625" style="180"/>
    <col min="2049" max="2049" width="10.42578125" style="180" customWidth="1"/>
    <col min="2050" max="2050" width="70.28515625" style="180" customWidth="1"/>
    <col min="2051" max="2051" width="11.5703125" style="180" bestFit="1" customWidth="1"/>
    <col min="2052" max="2052" width="12.140625" style="180" customWidth="1"/>
    <col min="2053" max="2053" width="15.85546875" style="180" customWidth="1"/>
    <col min="2054" max="2054" width="19.140625" style="180" customWidth="1"/>
    <col min="2055" max="2055" width="18" style="180" customWidth="1"/>
    <col min="2056" max="2056" width="15.85546875" style="180" customWidth="1"/>
    <col min="2057" max="2304" width="9.140625" style="180"/>
    <col min="2305" max="2305" width="10.42578125" style="180" customWidth="1"/>
    <col min="2306" max="2306" width="70.28515625" style="180" customWidth="1"/>
    <col min="2307" max="2307" width="11.5703125" style="180" bestFit="1" customWidth="1"/>
    <col min="2308" max="2308" width="12.140625" style="180" customWidth="1"/>
    <col min="2309" max="2309" width="15.85546875" style="180" customWidth="1"/>
    <col min="2310" max="2310" width="19.140625" style="180" customWidth="1"/>
    <col min="2311" max="2311" width="18" style="180" customWidth="1"/>
    <col min="2312" max="2312" width="15.85546875" style="180" customWidth="1"/>
    <col min="2313" max="2560" width="9.140625" style="180"/>
    <col min="2561" max="2561" width="10.42578125" style="180" customWidth="1"/>
    <col min="2562" max="2562" width="70.28515625" style="180" customWidth="1"/>
    <col min="2563" max="2563" width="11.5703125" style="180" bestFit="1" customWidth="1"/>
    <col min="2564" max="2564" width="12.140625" style="180" customWidth="1"/>
    <col min="2565" max="2565" width="15.85546875" style="180" customWidth="1"/>
    <col min="2566" max="2566" width="19.140625" style="180" customWidth="1"/>
    <col min="2567" max="2567" width="18" style="180" customWidth="1"/>
    <col min="2568" max="2568" width="15.85546875" style="180" customWidth="1"/>
    <col min="2569" max="2816" width="9.140625" style="180"/>
    <col min="2817" max="2817" width="10.42578125" style="180" customWidth="1"/>
    <col min="2818" max="2818" width="70.28515625" style="180" customWidth="1"/>
    <col min="2819" max="2819" width="11.5703125" style="180" bestFit="1" customWidth="1"/>
    <col min="2820" max="2820" width="12.140625" style="180" customWidth="1"/>
    <col min="2821" max="2821" width="15.85546875" style="180" customWidth="1"/>
    <col min="2822" max="2822" width="19.140625" style="180" customWidth="1"/>
    <col min="2823" max="2823" width="18" style="180" customWidth="1"/>
    <col min="2824" max="2824" width="15.85546875" style="180" customWidth="1"/>
    <col min="2825" max="3072" width="9.140625" style="180"/>
    <col min="3073" max="3073" width="10.42578125" style="180" customWidth="1"/>
    <col min="3074" max="3074" width="70.28515625" style="180" customWidth="1"/>
    <col min="3075" max="3075" width="11.5703125" style="180" bestFit="1" customWidth="1"/>
    <col min="3076" max="3076" width="12.140625" style="180" customWidth="1"/>
    <col min="3077" max="3077" width="15.85546875" style="180" customWidth="1"/>
    <col min="3078" max="3078" width="19.140625" style="180" customWidth="1"/>
    <col min="3079" max="3079" width="18" style="180" customWidth="1"/>
    <col min="3080" max="3080" width="15.85546875" style="180" customWidth="1"/>
    <col min="3081" max="3328" width="9.140625" style="180"/>
    <col min="3329" max="3329" width="10.42578125" style="180" customWidth="1"/>
    <col min="3330" max="3330" width="70.28515625" style="180" customWidth="1"/>
    <col min="3331" max="3331" width="11.5703125" style="180" bestFit="1" customWidth="1"/>
    <col min="3332" max="3332" width="12.140625" style="180" customWidth="1"/>
    <col min="3333" max="3333" width="15.85546875" style="180" customWidth="1"/>
    <col min="3334" max="3334" width="19.140625" style="180" customWidth="1"/>
    <col min="3335" max="3335" width="18" style="180" customWidth="1"/>
    <col min="3336" max="3336" width="15.85546875" style="180" customWidth="1"/>
    <col min="3337" max="3584" width="9.140625" style="180"/>
    <col min="3585" max="3585" width="10.42578125" style="180" customWidth="1"/>
    <col min="3586" max="3586" width="70.28515625" style="180" customWidth="1"/>
    <col min="3587" max="3587" width="11.5703125" style="180" bestFit="1" customWidth="1"/>
    <col min="3588" max="3588" width="12.140625" style="180" customWidth="1"/>
    <col min="3589" max="3589" width="15.85546875" style="180" customWidth="1"/>
    <col min="3590" max="3590" width="19.140625" style="180" customWidth="1"/>
    <col min="3591" max="3591" width="18" style="180" customWidth="1"/>
    <col min="3592" max="3592" width="15.85546875" style="180" customWidth="1"/>
    <col min="3593" max="3840" width="9.140625" style="180"/>
    <col min="3841" max="3841" width="10.42578125" style="180" customWidth="1"/>
    <col min="3842" max="3842" width="70.28515625" style="180" customWidth="1"/>
    <col min="3843" max="3843" width="11.5703125" style="180" bestFit="1" customWidth="1"/>
    <col min="3844" max="3844" width="12.140625" style="180" customWidth="1"/>
    <col min="3845" max="3845" width="15.85546875" style="180" customWidth="1"/>
    <col min="3846" max="3846" width="19.140625" style="180" customWidth="1"/>
    <col min="3847" max="3847" width="18" style="180" customWidth="1"/>
    <col min="3848" max="3848" width="15.85546875" style="180" customWidth="1"/>
    <col min="3849" max="4096" width="9.140625" style="180"/>
    <col min="4097" max="4097" width="10.42578125" style="180" customWidth="1"/>
    <col min="4098" max="4098" width="70.28515625" style="180" customWidth="1"/>
    <col min="4099" max="4099" width="11.5703125" style="180" bestFit="1" customWidth="1"/>
    <col min="4100" max="4100" width="12.140625" style="180" customWidth="1"/>
    <col min="4101" max="4101" width="15.85546875" style="180" customWidth="1"/>
    <col min="4102" max="4102" width="19.140625" style="180" customWidth="1"/>
    <col min="4103" max="4103" width="18" style="180" customWidth="1"/>
    <col min="4104" max="4104" width="15.85546875" style="180" customWidth="1"/>
    <col min="4105" max="4352" width="9.140625" style="180"/>
    <col min="4353" max="4353" width="10.42578125" style="180" customWidth="1"/>
    <col min="4354" max="4354" width="70.28515625" style="180" customWidth="1"/>
    <col min="4355" max="4355" width="11.5703125" style="180" bestFit="1" customWidth="1"/>
    <col min="4356" max="4356" width="12.140625" style="180" customWidth="1"/>
    <col min="4357" max="4357" width="15.85546875" style="180" customWidth="1"/>
    <col min="4358" max="4358" width="19.140625" style="180" customWidth="1"/>
    <col min="4359" max="4359" width="18" style="180" customWidth="1"/>
    <col min="4360" max="4360" width="15.85546875" style="180" customWidth="1"/>
    <col min="4361" max="4608" width="9.140625" style="180"/>
    <col min="4609" max="4609" width="10.42578125" style="180" customWidth="1"/>
    <col min="4610" max="4610" width="70.28515625" style="180" customWidth="1"/>
    <col min="4611" max="4611" width="11.5703125" style="180" bestFit="1" customWidth="1"/>
    <col min="4612" max="4612" width="12.140625" style="180" customWidth="1"/>
    <col min="4613" max="4613" width="15.85546875" style="180" customWidth="1"/>
    <col min="4614" max="4614" width="19.140625" style="180" customWidth="1"/>
    <col min="4615" max="4615" width="18" style="180" customWidth="1"/>
    <col min="4616" max="4616" width="15.85546875" style="180" customWidth="1"/>
    <col min="4617" max="4864" width="9.140625" style="180"/>
    <col min="4865" max="4865" width="10.42578125" style="180" customWidth="1"/>
    <col min="4866" max="4866" width="70.28515625" style="180" customWidth="1"/>
    <col min="4867" max="4867" width="11.5703125" style="180" bestFit="1" customWidth="1"/>
    <col min="4868" max="4868" width="12.140625" style="180" customWidth="1"/>
    <col min="4869" max="4869" width="15.85546875" style="180" customWidth="1"/>
    <col min="4870" max="4870" width="19.140625" style="180" customWidth="1"/>
    <col min="4871" max="4871" width="18" style="180" customWidth="1"/>
    <col min="4872" max="4872" width="15.85546875" style="180" customWidth="1"/>
    <col min="4873" max="5120" width="9.140625" style="180"/>
    <col min="5121" max="5121" width="10.42578125" style="180" customWidth="1"/>
    <col min="5122" max="5122" width="70.28515625" style="180" customWidth="1"/>
    <col min="5123" max="5123" width="11.5703125" style="180" bestFit="1" customWidth="1"/>
    <col min="5124" max="5124" width="12.140625" style="180" customWidth="1"/>
    <col min="5125" max="5125" width="15.85546875" style="180" customWidth="1"/>
    <col min="5126" max="5126" width="19.140625" style="180" customWidth="1"/>
    <col min="5127" max="5127" width="18" style="180" customWidth="1"/>
    <col min="5128" max="5128" width="15.85546875" style="180" customWidth="1"/>
    <col min="5129" max="5376" width="9.140625" style="180"/>
    <col min="5377" max="5377" width="10.42578125" style="180" customWidth="1"/>
    <col min="5378" max="5378" width="70.28515625" style="180" customWidth="1"/>
    <col min="5379" max="5379" width="11.5703125" style="180" bestFit="1" customWidth="1"/>
    <col min="5380" max="5380" width="12.140625" style="180" customWidth="1"/>
    <col min="5381" max="5381" width="15.85546875" style="180" customWidth="1"/>
    <col min="5382" max="5382" width="19.140625" style="180" customWidth="1"/>
    <col min="5383" max="5383" width="18" style="180" customWidth="1"/>
    <col min="5384" max="5384" width="15.85546875" style="180" customWidth="1"/>
    <col min="5385" max="5632" width="9.140625" style="180"/>
    <col min="5633" max="5633" width="10.42578125" style="180" customWidth="1"/>
    <col min="5634" max="5634" width="70.28515625" style="180" customWidth="1"/>
    <col min="5635" max="5635" width="11.5703125" style="180" bestFit="1" customWidth="1"/>
    <col min="5636" max="5636" width="12.140625" style="180" customWidth="1"/>
    <col min="5637" max="5637" width="15.85546875" style="180" customWidth="1"/>
    <col min="5638" max="5638" width="19.140625" style="180" customWidth="1"/>
    <col min="5639" max="5639" width="18" style="180" customWidth="1"/>
    <col min="5640" max="5640" width="15.85546875" style="180" customWidth="1"/>
    <col min="5641" max="5888" width="9.140625" style="180"/>
    <col min="5889" max="5889" width="10.42578125" style="180" customWidth="1"/>
    <col min="5890" max="5890" width="70.28515625" style="180" customWidth="1"/>
    <col min="5891" max="5891" width="11.5703125" style="180" bestFit="1" customWidth="1"/>
    <col min="5892" max="5892" width="12.140625" style="180" customWidth="1"/>
    <col min="5893" max="5893" width="15.85546875" style="180" customWidth="1"/>
    <col min="5894" max="5894" width="19.140625" style="180" customWidth="1"/>
    <col min="5895" max="5895" width="18" style="180" customWidth="1"/>
    <col min="5896" max="5896" width="15.85546875" style="180" customWidth="1"/>
    <col min="5897" max="6144" width="9.140625" style="180"/>
    <col min="6145" max="6145" width="10.42578125" style="180" customWidth="1"/>
    <col min="6146" max="6146" width="70.28515625" style="180" customWidth="1"/>
    <col min="6147" max="6147" width="11.5703125" style="180" bestFit="1" customWidth="1"/>
    <col min="6148" max="6148" width="12.140625" style="180" customWidth="1"/>
    <col min="6149" max="6149" width="15.85546875" style="180" customWidth="1"/>
    <col min="6150" max="6150" width="19.140625" style="180" customWidth="1"/>
    <col min="6151" max="6151" width="18" style="180" customWidth="1"/>
    <col min="6152" max="6152" width="15.85546875" style="180" customWidth="1"/>
    <col min="6153" max="6400" width="9.140625" style="180"/>
    <col min="6401" max="6401" width="10.42578125" style="180" customWidth="1"/>
    <col min="6402" max="6402" width="70.28515625" style="180" customWidth="1"/>
    <col min="6403" max="6403" width="11.5703125" style="180" bestFit="1" customWidth="1"/>
    <col min="6404" max="6404" width="12.140625" style="180" customWidth="1"/>
    <col min="6405" max="6405" width="15.85546875" style="180" customWidth="1"/>
    <col min="6406" max="6406" width="19.140625" style="180" customWidth="1"/>
    <col min="6407" max="6407" width="18" style="180" customWidth="1"/>
    <col min="6408" max="6408" width="15.85546875" style="180" customWidth="1"/>
    <col min="6409" max="6656" width="9.140625" style="180"/>
    <col min="6657" max="6657" width="10.42578125" style="180" customWidth="1"/>
    <col min="6658" max="6658" width="70.28515625" style="180" customWidth="1"/>
    <col min="6659" max="6659" width="11.5703125" style="180" bestFit="1" customWidth="1"/>
    <col min="6660" max="6660" width="12.140625" style="180" customWidth="1"/>
    <col min="6661" max="6661" width="15.85546875" style="180" customWidth="1"/>
    <col min="6662" max="6662" width="19.140625" style="180" customWidth="1"/>
    <col min="6663" max="6663" width="18" style="180" customWidth="1"/>
    <col min="6664" max="6664" width="15.85546875" style="180" customWidth="1"/>
    <col min="6665" max="6912" width="9.140625" style="180"/>
    <col min="6913" max="6913" width="10.42578125" style="180" customWidth="1"/>
    <col min="6914" max="6914" width="70.28515625" style="180" customWidth="1"/>
    <col min="6915" max="6915" width="11.5703125" style="180" bestFit="1" customWidth="1"/>
    <col min="6916" max="6916" width="12.140625" style="180" customWidth="1"/>
    <col min="6917" max="6917" width="15.85546875" style="180" customWidth="1"/>
    <col min="6918" max="6918" width="19.140625" style="180" customWidth="1"/>
    <col min="6919" max="6919" width="18" style="180" customWidth="1"/>
    <col min="6920" max="6920" width="15.85546875" style="180" customWidth="1"/>
    <col min="6921" max="7168" width="9.140625" style="180"/>
    <col min="7169" max="7169" width="10.42578125" style="180" customWidth="1"/>
    <col min="7170" max="7170" width="70.28515625" style="180" customWidth="1"/>
    <col min="7171" max="7171" width="11.5703125" style="180" bestFit="1" customWidth="1"/>
    <col min="7172" max="7172" width="12.140625" style="180" customWidth="1"/>
    <col min="7173" max="7173" width="15.85546875" style="180" customWidth="1"/>
    <col min="7174" max="7174" width="19.140625" style="180" customWidth="1"/>
    <col min="7175" max="7175" width="18" style="180" customWidth="1"/>
    <col min="7176" max="7176" width="15.85546875" style="180" customWidth="1"/>
    <col min="7177" max="7424" width="9.140625" style="180"/>
    <col min="7425" max="7425" width="10.42578125" style="180" customWidth="1"/>
    <col min="7426" max="7426" width="70.28515625" style="180" customWidth="1"/>
    <col min="7427" max="7427" width="11.5703125" style="180" bestFit="1" customWidth="1"/>
    <col min="7428" max="7428" width="12.140625" style="180" customWidth="1"/>
    <col min="7429" max="7429" width="15.85546875" style="180" customWidth="1"/>
    <col min="7430" max="7430" width="19.140625" style="180" customWidth="1"/>
    <col min="7431" max="7431" width="18" style="180" customWidth="1"/>
    <col min="7432" max="7432" width="15.85546875" style="180" customWidth="1"/>
    <col min="7433" max="7680" width="9.140625" style="180"/>
    <col min="7681" max="7681" width="10.42578125" style="180" customWidth="1"/>
    <col min="7682" max="7682" width="70.28515625" style="180" customWidth="1"/>
    <col min="7683" max="7683" width="11.5703125" style="180" bestFit="1" customWidth="1"/>
    <col min="7684" max="7684" width="12.140625" style="180" customWidth="1"/>
    <col min="7685" max="7685" width="15.85546875" style="180" customWidth="1"/>
    <col min="7686" max="7686" width="19.140625" style="180" customWidth="1"/>
    <col min="7687" max="7687" width="18" style="180" customWidth="1"/>
    <col min="7688" max="7688" width="15.85546875" style="180" customWidth="1"/>
    <col min="7689" max="7936" width="9.140625" style="180"/>
    <col min="7937" max="7937" width="10.42578125" style="180" customWidth="1"/>
    <col min="7938" max="7938" width="70.28515625" style="180" customWidth="1"/>
    <col min="7939" max="7939" width="11.5703125" style="180" bestFit="1" customWidth="1"/>
    <col min="7940" max="7940" width="12.140625" style="180" customWidth="1"/>
    <col min="7941" max="7941" width="15.85546875" style="180" customWidth="1"/>
    <col min="7942" max="7942" width="19.140625" style="180" customWidth="1"/>
    <col min="7943" max="7943" width="18" style="180" customWidth="1"/>
    <col min="7944" max="7944" width="15.85546875" style="180" customWidth="1"/>
    <col min="7945" max="8192" width="9.140625" style="180"/>
    <col min="8193" max="8193" width="10.42578125" style="180" customWidth="1"/>
    <col min="8194" max="8194" width="70.28515625" style="180" customWidth="1"/>
    <col min="8195" max="8195" width="11.5703125" style="180" bestFit="1" customWidth="1"/>
    <col min="8196" max="8196" width="12.140625" style="180" customWidth="1"/>
    <col min="8197" max="8197" width="15.85546875" style="180" customWidth="1"/>
    <col min="8198" max="8198" width="19.140625" style="180" customWidth="1"/>
    <col min="8199" max="8199" width="18" style="180" customWidth="1"/>
    <col min="8200" max="8200" width="15.85546875" style="180" customWidth="1"/>
    <col min="8201" max="8448" width="9.140625" style="180"/>
    <col min="8449" max="8449" width="10.42578125" style="180" customWidth="1"/>
    <col min="8450" max="8450" width="70.28515625" style="180" customWidth="1"/>
    <col min="8451" max="8451" width="11.5703125" style="180" bestFit="1" customWidth="1"/>
    <col min="8452" max="8452" width="12.140625" style="180" customWidth="1"/>
    <col min="8453" max="8453" width="15.85546875" style="180" customWidth="1"/>
    <col min="8454" max="8454" width="19.140625" style="180" customWidth="1"/>
    <col min="8455" max="8455" width="18" style="180" customWidth="1"/>
    <col min="8456" max="8456" width="15.85546875" style="180" customWidth="1"/>
    <col min="8457" max="8704" width="9.140625" style="180"/>
    <col min="8705" max="8705" width="10.42578125" style="180" customWidth="1"/>
    <col min="8706" max="8706" width="70.28515625" style="180" customWidth="1"/>
    <col min="8707" max="8707" width="11.5703125" style="180" bestFit="1" customWidth="1"/>
    <col min="8708" max="8708" width="12.140625" style="180" customWidth="1"/>
    <col min="8709" max="8709" width="15.85546875" style="180" customWidth="1"/>
    <col min="8710" max="8710" width="19.140625" style="180" customWidth="1"/>
    <col min="8711" max="8711" width="18" style="180" customWidth="1"/>
    <col min="8712" max="8712" width="15.85546875" style="180" customWidth="1"/>
    <col min="8713" max="8960" width="9.140625" style="180"/>
    <col min="8961" max="8961" width="10.42578125" style="180" customWidth="1"/>
    <col min="8962" max="8962" width="70.28515625" style="180" customWidth="1"/>
    <col min="8963" max="8963" width="11.5703125" style="180" bestFit="1" customWidth="1"/>
    <col min="8964" max="8964" width="12.140625" style="180" customWidth="1"/>
    <col min="8965" max="8965" width="15.85546875" style="180" customWidth="1"/>
    <col min="8966" max="8966" width="19.140625" style="180" customWidth="1"/>
    <col min="8967" max="8967" width="18" style="180" customWidth="1"/>
    <col min="8968" max="8968" width="15.85546875" style="180" customWidth="1"/>
    <col min="8969" max="9216" width="9.140625" style="180"/>
    <col min="9217" max="9217" width="10.42578125" style="180" customWidth="1"/>
    <col min="9218" max="9218" width="70.28515625" style="180" customWidth="1"/>
    <col min="9219" max="9219" width="11.5703125" style="180" bestFit="1" customWidth="1"/>
    <col min="9220" max="9220" width="12.140625" style="180" customWidth="1"/>
    <col min="9221" max="9221" width="15.85546875" style="180" customWidth="1"/>
    <col min="9222" max="9222" width="19.140625" style="180" customWidth="1"/>
    <col min="9223" max="9223" width="18" style="180" customWidth="1"/>
    <col min="9224" max="9224" width="15.85546875" style="180" customWidth="1"/>
    <col min="9225" max="9472" width="9.140625" style="180"/>
    <col min="9473" max="9473" width="10.42578125" style="180" customWidth="1"/>
    <col min="9474" max="9474" width="70.28515625" style="180" customWidth="1"/>
    <col min="9475" max="9475" width="11.5703125" style="180" bestFit="1" customWidth="1"/>
    <col min="9476" max="9476" width="12.140625" style="180" customWidth="1"/>
    <col min="9477" max="9477" width="15.85546875" style="180" customWidth="1"/>
    <col min="9478" max="9478" width="19.140625" style="180" customWidth="1"/>
    <col min="9479" max="9479" width="18" style="180" customWidth="1"/>
    <col min="9480" max="9480" width="15.85546875" style="180" customWidth="1"/>
    <col min="9481" max="9728" width="9.140625" style="180"/>
    <col min="9729" max="9729" width="10.42578125" style="180" customWidth="1"/>
    <col min="9730" max="9730" width="70.28515625" style="180" customWidth="1"/>
    <col min="9731" max="9731" width="11.5703125" style="180" bestFit="1" customWidth="1"/>
    <col min="9732" max="9732" width="12.140625" style="180" customWidth="1"/>
    <col min="9733" max="9733" width="15.85546875" style="180" customWidth="1"/>
    <col min="9734" max="9734" width="19.140625" style="180" customWidth="1"/>
    <col min="9735" max="9735" width="18" style="180" customWidth="1"/>
    <col min="9736" max="9736" width="15.85546875" style="180" customWidth="1"/>
    <col min="9737" max="9984" width="9.140625" style="180"/>
    <col min="9985" max="9985" width="10.42578125" style="180" customWidth="1"/>
    <col min="9986" max="9986" width="70.28515625" style="180" customWidth="1"/>
    <col min="9987" max="9987" width="11.5703125" style="180" bestFit="1" customWidth="1"/>
    <col min="9988" max="9988" width="12.140625" style="180" customWidth="1"/>
    <col min="9989" max="9989" width="15.85546875" style="180" customWidth="1"/>
    <col min="9990" max="9990" width="19.140625" style="180" customWidth="1"/>
    <col min="9991" max="9991" width="18" style="180" customWidth="1"/>
    <col min="9992" max="9992" width="15.85546875" style="180" customWidth="1"/>
    <col min="9993" max="10240" width="9.140625" style="180"/>
    <col min="10241" max="10241" width="10.42578125" style="180" customWidth="1"/>
    <col min="10242" max="10242" width="70.28515625" style="180" customWidth="1"/>
    <col min="10243" max="10243" width="11.5703125" style="180" bestFit="1" customWidth="1"/>
    <col min="10244" max="10244" width="12.140625" style="180" customWidth="1"/>
    <col min="10245" max="10245" width="15.85546875" style="180" customWidth="1"/>
    <col min="10246" max="10246" width="19.140625" style="180" customWidth="1"/>
    <col min="10247" max="10247" width="18" style="180" customWidth="1"/>
    <col min="10248" max="10248" width="15.85546875" style="180" customWidth="1"/>
    <col min="10249" max="10496" width="9.140625" style="180"/>
    <col min="10497" max="10497" width="10.42578125" style="180" customWidth="1"/>
    <col min="10498" max="10498" width="70.28515625" style="180" customWidth="1"/>
    <col min="10499" max="10499" width="11.5703125" style="180" bestFit="1" customWidth="1"/>
    <col min="10500" max="10500" width="12.140625" style="180" customWidth="1"/>
    <col min="10501" max="10501" width="15.85546875" style="180" customWidth="1"/>
    <col min="10502" max="10502" width="19.140625" style="180" customWidth="1"/>
    <col min="10503" max="10503" width="18" style="180" customWidth="1"/>
    <col min="10504" max="10504" width="15.85546875" style="180" customWidth="1"/>
    <col min="10505" max="10752" width="9.140625" style="180"/>
    <col min="10753" max="10753" width="10.42578125" style="180" customWidth="1"/>
    <col min="10754" max="10754" width="70.28515625" style="180" customWidth="1"/>
    <col min="10755" max="10755" width="11.5703125" style="180" bestFit="1" customWidth="1"/>
    <col min="10756" max="10756" width="12.140625" style="180" customWidth="1"/>
    <col min="10757" max="10757" width="15.85546875" style="180" customWidth="1"/>
    <col min="10758" max="10758" width="19.140625" style="180" customWidth="1"/>
    <col min="10759" max="10759" width="18" style="180" customWidth="1"/>
    <col min="10760" max="10760" width="15.85546875" style="180" customWidth="1"/>
    <col min="10761" max="11008" width="9.140625" style="180"/>
    <col min="11009" max="11009" width="10.42578125" style="180" customWidth="1"/>
    <col min="11010" max="11010" width="70.28515625" style="180" customWidth="1"/>
    <col min="11011" max="11011" width="11.5703125" style="180" bestFit="1" customWidth="1"/>
    <col min="11012" max="11012" width="12.140625" style="180" customWidth="1"/>
    <col min="11013" max="11013" width="15.85546875" style="180" customWidth="1"/>
    <col min="11014" max="11014" width="19.140625" style="180" customWidth="1"/>
    <col min="11015" max="11015" width="18" style="180" customWidth="1"/>
    <col min="11016" max="11016" width="15.85546875" style="180" customWidth="1"/>
    <col min="11017" max="11264" width="9.140625" style="180"/>
    <col min="11265" max="11265" width="10.42578125" style="180" customWidth="1"/>
    <col min="11266" max="11266" width="70.28515625" style="180" customWidth="1"/>
    <col min="11267" max="11267" width="11.5703125" style="180" bestFit="1" customWidth="1"/>
    <col min="11268" max="11268" width="12.140625" style="180" customWidth="1"/>
    <col min="11269" max="11269" width="15.85546875" style="180" customWidth="1"/>
    <col min="11270" max="11270" width="19.140625" style="180" customWidth="1"/>
    <col min="11271" max="11271" width="18" style="180" customWidth="1"/>
    <col min="11272" max="11272" width="15.85546875" style="180" customWidth="1"/>
    <col min="11273" max="11520" width="9.140625" style="180"/>
    <col min="11521" max="11521" width="10.42578125" style="180" customWidth="1"/>
    <col min="11522" max="11522" width="70.28515625" style="180" customWidth="1"/>
    <col min="11523" max="11523" width="11.5703125" style="180" bestFit="1" customWidth="1"/>
    <col min="11524" max="11524" width="12.140625" style="180" customWidth="1"/>
    <col min="11525" max="11525" width="15.85546875" style="180" customWidth="1"/>
    <col min="11526" max="11526" width="19.140625" style="180" customWidth="1"/>
    <col min="11527" max="11527" width="18" style="180" customWidth="1"/>
    <col min="11528" max="11528" width="15.85546875" style="180" customWidth="1"/>
    <col min="11529" max="11776" width="9.140625" style="180"/>
    <col min="11777" max="11777" width="10.42578125" style="180" customWidth="1"/>
    <col min="11778" max="11778" width="70.28515625" style="180" customWidth="1"/>
    <col min="11779" max="11779" width="11.5703125" style="180" bestFit="1" customWidth="1"/>
    <col min="11780" max="11780" width="12.140625" style="180" customWidth="1"/>
    <col min="11781" max="11781" width="15.85546875" style="180" customWidth="1"/>
    <col min="11782" max="11782" width="19.140625" style="180" customWidth="1"/>
    <col min="11783" max="11783" width="18" style="180" customWidth="1"/>
    <col min="11784" max="11784" width="15.85546875" style="180" customWidth="1"/>
    <col min="11785" max="12032" width="9.140625" style="180"/>
    <col min="12033" max="12033" width="10.42578125" style="180" customWidth="1"/>
    <col min="12034" max="12034" width="70.28515625" style="180" customWidth="1"/>
    <col min="12035" max="12035" width="11.5703125" style="180" bestFit="1" customWidth="1"/>
    <col min="12036" max="12036" width="12.140625" style="180" customWidth="1"/>
    <col min="12037" max="12037" width="15.85546875" style="180" customWidth="1"/>
    <col min="12038" max="12038" width="19.140625" style="180" customWidth="1"/>
    <col min="12039" max="12039" width="18" style="180" customWidth="1"/>
    <col min="12040" max="12040" width="15.85546875" style="180" customWidth="1"/>
    <col min="12041" max="12288" width="9.140625" style="180"/>
    <col min="12289" max="12289" width="10.42578125" style="180" customWidth="1"/>
    <col min="12290" max="12290" width="70.28515625" style="180" customWidth="1"/>
    <col min="12291" max="12291" width="11.5703125" style="180" bestFit="1" customWidth="1"/>
    <col min="12292" max="12292" width="12.140625" style="180" customWidth="1"/>
    <col min="12293" max="12293" width="15.85546875" style="180" customWidth="1"/>
    <col min="12294" max="12294" width="19.140625" style="180" customWidth="1"/>
    <col min="12295" max="12295" width="18" style="180" customWidth="1"/>
    <col min="12296" max="12296" width="15.85546875" style="180" customWidth="1"/>
    <col min="12297" max="12544" width="9.140625" style="180"/>
    <col min="12545" max="12545" width="10.42578125" style="180" customWidth="1"/>
    <col min="12546" max="12546" width="70.28515625" style="180" customWidth="1"/>
    <col min="12547" max="12547" width="11.5703125" style="180" bestFit="1" customWidth="1"/>
    <col min="12548" max="12548" width="12.140625" style="180" customWidth="1"/>
    <col min="12549" max="12549" width="15.85546875" style="180" customWidth="1"/>
    <col min="12550" max="12550" width="19.140625" style="180" customWidth="1"/>
    <col min="12551" max="12551" width="18" style="180" customWidth="1"/>
    <col min="12552" max="12552" width="15.85546875" style="180" customWidth="1"/>
    <col min="12553" max="12800" width="9.140625" style="180"/>
    <col min="12801" max="12801" width="10.42578125" style="180" customWidth="1"/>
    <col min="12802" max="12802" width="70.28515625" style="180" customWidth="1"/>
    <col min="12803" max="12803" width="11.5703125" style="180" bestFit="1" customWidth="1"/>
    <col min="12804" max="12804" width="12.140625" style="180" customWidth="1"/>
    <col min="12805" max="12805" width="15.85546875" style="180" customWidth="1"/>
    <col min="12806" max="12806" width="19.140625" style="180" customWidth="1"/>
    <col min="12807" max="12807" width="18" style="180" customWidth="1"/>
    <col min="12808" max="12808" width="15.85546875" style="180" customWidth="1"/>
    <col min="12809" max="13056" width="9.140625" style="180"/>
    <col min="13057" max="13057" width="10.42578125" style="180" customWidth="1"/>
    <col min="13058" max="13058" width="70.28515625" style="180" customWidth="1"/>
    <col min="13059" max="13059" width="11.5703125" style="180" bestFit="1" customWidth="1"/>
    <col min="13060" max="13060" width="12.140625" style="180" customWidth="1"/>
    <col min="13061" max="13061" width="15.85546875" style="180" customWidth="1"/>
    <col min="13062" max="13062" width="19.140625" style="180" customWidth="1"/>
    <col min="13063" max="13063" width="18" style="180" customWidth="1"/>
    <col min="13064" max="13064" width="15.85546875" style="180" customWidth="1"/>
    <col min="13065" max="13312" width="9.140625" style="180"/>
    <col min="13313" max="13313" width="10.42578125" style="180" customWidth="1"/>
    <col min="13314" max="13314" width="70.28515625" style="180" customWidth="1"/>
    <col min="13315" max="13315" width="11.5703125" style="180" bestFit="1" customWidth="1"/>
    <col min="13316" max="13316" width="12.140625" style="180" customWidth="1"/>
    <col min="13317" max="13317" width="15.85546875" style="180" customWidth="1"/>
    <col min="13318" max="13318" width="19.140625" style="180" customWidth="1"/>
    <col min="13319" max="13319" width="18" style="180" customWidth="1"/>
    <col min="13320" max="13320" width="15.85546875" style="180" customWidth="1"/>
    <col min="13321" max="13568" width="9.140625" style="180"/>
    <col min="13569" max="13569" width="10.42578125" style="180" customWidth="1"/>
    <col min="13570" max="13570" width="70.28515625" style="180" customWidth="1"/>
    <col min="13571" max="13571" width="11.5703125" style="180" bestFit="1" customWidth="1"/>
    <col min="13572" max="13572" width="12.140625" style="180" customWidth="1"/>
    <col min="13573" max="13573" width="15.85546875" style="180" customWidth="1"/>
    <col min="13574" max="13574" width="19.140625" style="180" customWidth="1"/>
    <col min="13575" max="13575" width="18" style="180" customWidth="1"/>
    <col min="13576" max="13576" width="15.85546875" style="180" customWidth="1"/>
    <col min="13577" max="13824" width="9.140625" style="180"/>
    <col min="13825" max="13825" width="10.42578125" style="180" customWidth="1"/>
    <col min="13826" max="13826" width="70.28515625" style="180" customWidth="1"/>
    <col min="13827" max="13827" width="11.5703125" style="180" bestFit="1" customWidth="1"/>
    <col min="13828" max="13828" width="12.140625" style="180" customWidth="1"/>
    <col min="13829" max="13829" width="15.85546875" style="180" customWidth="1"/>
    <col min="13830" max="13830" width="19.140625" style="180" customWidth="1"/>
    <col min="13831" max="13831" width="18" style="180" customWidth="1"/>
    <col min="13832" max="13832" width="15.85546875" style="180" customWidth="1"/>
    <col min="13833" max="14080" width="9.140625" style="180"/>
    <col min="14081" max="14081" width="10.42578125" style="180" customWidth="1"/>
    <col min="14082" max="14082" width="70.28515625" style="180" customWidth="1"/>
    <col min="14083" max="14083" width="11.5703125" style="180" bestFit="1" customWidth="1"/>
    <col min="14084" max="14084" width="12.140625" style="180" customWidth="1"/>
    <col min="14085" max="14085" width="15.85546875" style="180" customWidth="1"/>
    <col min="14086" max="14086" width="19.140625" style="180" customWidth="1"/>
    <col min="14087" max="14087" width="18" style="180" customWidth="1"/>
    <col min="14088" max="14088" width="15.85546875" style="180" customWidth="1"/>
    <col min="14089" max="14336" width="9.140625" style="180"/>
    <col min="14337" max="14337" width="10.42578125" style="180" customWidth="1"/>
    <col min="14338" max="14338" width="70.28515625" style="180" customWidth="1"/>
    <col min="14339" max="14339" width="11.5703125" style="180" bestFit="1" customWidth="1"/>
    <col min="14340" max="14340" width="12.140625" style="180" customWidth="1"/>
    <col min="14341" max="14341" width="15.85546875" style="180" customWidth="1"/>
    <col min="14342" max="14342" width="19.140625" style="180" customWidth="1"/>
    <col min="14343" max="14343" width="18" style="180" customWidth="1"/>
    <col min="14344" max="14344" width="15.85546875" style="180" customWidth="1"/>
    <col min="14345" max="14592" width="9.140625" style="180"/>
    <col min="14593" max="14593" width="10.42578125" style="180" customWidth="1"/>
    <col min="14594" max="14594" width="70.28515625" style="180" customWidth="1"/>
    <col min="14595" max="14595" width="11.5703125" style="180" bestFit="1" customWidth="1"/>
    <col min="14596" max="14596" width="12.140625" style="180" customWidth="1"/>
    <col min="14597" max="14597" width="15.85546875" style="180" customWidth="1"/>
    <col min="14598" max="14598" width="19.140625" style="180" customWidth="1"/>
    <col min="14599" max="14599" width="18" style="180" customWidth="1"/>
    <col min="14600" max="14600" width="15.85546875" style="180" customWidth="1"/>
    <col min="14601" max="14848" width="9.140625" style="180"/>
    <col min="14849" max="14849" width="10.42578125" style="180" customWidth="1"/>
    <col min="14850" max="14850" width="70.28515625" style="180" customWidth="1"/>
    <col min="14851" max="14851" width="11.5703125" style="180" bestFit="1" customWidth="1"/>
    <col min="14852" max="14852" width="12.140625" style="180" customWidth="1"/>
    <col min="14853" max="14853" width="15.85546875" style="180" customWidth="1"/>
    <col min="14854" max="14854" width="19.140625" style="180" customWidth="1"/>
    <col min="14855" max="14855" width="18" style="180" customWidth="1"/>
    <col min="14856" max="14856" width="15.85546875" style="180" customWidth="1"/>
    <col min="14857" max="15104" width="9.140625" style="180"/>
    <col min="15105" max="15105" width="10.42578125" style="180" customWidth="1"/>
    <col min="15106" max="15106" width="70.28515625" style="180" customWidth="1"/>
    <col min="15107" max="15107" width="11.5703125" style="180" bestFit="1" customWidth="1"/>
    <col min="15108" max="15108" width="12.140625" style="180" customWidth="1"/>
    <col min="15109" max="15109" width="15.85546875" style="180" customWidth="1"/>
    <col min="15110" max="15110" width="19.140625" style="180" customWidth="1"/>
    <col min="15111" max="15111" width="18" style="180" customWidth="1"/>
    <col min="15112" max="15112" width="15.85546875" style="180" customWidth="1"/>
    <col min="15113" max="15360" width="9.140625" style="180"/>
    <col min="15361" max="15361" width="10.42578125" style="180" customWidth="1"/>
    <col min="15362" max="15362" width="70.28515625" style="180" customWidth="1"/>
    <col min="15363" max="15363" width="11.5703125" style="180" bestFit="1" customWidth="1"/>
    <col min="15364" max="15364" width="12.140625" style="180" customWidth="1"/>
    <col min="15365" max="15365" width="15.85546875" style="180" customWidth="1"/>
    <col min="15366" max="15366" width="19.140625" style="180" customWidth="1"/>
    <col min="15367" max="15367" width="18" style="180" customWidth="1"/>
    <col min="15368" max="15368" width="15.85546875" style="180" customWidth="1"/>
    <col min="15369" max="15616" width="9.140625" style="180"/>
    <col min="15617" max="15617" width="10.42578125" style="180" customWidth="1"/>
    <col min="15618" max="15618" width="70.28515625" style="180" customWidth="1"/>
    <col min="15619" max="15619" width="11.5703125" style="180" bestFit="1" customWidth="1"/>
    <col min="15620" max="15620" width="12.140625" style="180" customWidth="1"/>
    <col min="15621" max="15621" width="15.85546875" style="180" customWidth="1"/>
    <col min="15622" max="15622" width="19.140625" style="180" customWidth="1"/>
    <col min="15623" max="15623" width="18" style="180" customWidth="1"/>
    <col min="15624" max="15624" width="15.85546875" style="180" customWidth="1"/>
    <col min="15625" max="15872" width="9.140625" style="180"/>
    <col min="15873" max="15873" width="10.42578125" style="180" customWidth="1"/>
    <col min="15874" max="15874" width="70.28515625" style="180" customWidth="1"/>
    <col min="15875" max="15875" width="11.5703125" style="180" bestFit="1" customWidth="1"/>
    <col min="15876" max="15876" width="12.140625" style="180" customWidth="1"/>
    <col min="15877" max="15877" width="15.85546875" style="180" customWidth="1"/>
    <col min="15878" max="15878" width="19.140625" style="180" customWidth="1"/>
    <col min="15879" max="15879" width="18" style="180" customWidth="1"/>
    <col min="15880" max="15880" width="15.85546875" style="180" customWidth="1"/>
    <col min="15881" max="16128" width="9.140625" style="180"/>
    <col min="16129" max="16129" width="10.42578125" style="180" customWidth="1"/>
    <col min="16130" max="16130" width="70.28515625" style="180" customWidth="1"/>
    <col min="16131" max="16131" width="11.5703125" style="180" bestFit="1" customWidth="1"/>
    <col min="16132" max="16132" width="12.140625" style="180" customWidth="1"/>
    <col min="16133" max="16133" width="15.85546875" style="180" customWidth="1"/>
    <col min="16134" max="16134" width="19.140625" style="180" customWidth="1"/>
    <col min="16135" max="16135" width="18" style="180" customWidth="1"/>
    <col min="16136" max="16136" width="15.85546875" style="180" customWidth="1"/>
    <col min="16137" max="16384" width="9.140625" style="180"/>
  </cols>
  <sheetData>
    <row r="1" spans="1:8" s="151" customFormat="1" ht="15" x14ac:dyDescent="0.25">
      <c r="A1" s="580" t="s">
        <v>322</v>
      </c>
      <c r="B1" s="580"/>
      <c r="C1" s="580"/>
      <c r="D1" s="580"/>
      <c r="E1" s="580"/>
      <c r="F1" s="580"/>
      <c r="G1" s="580"/>
      <c r="H1" s="580"/>
    </row>
    <row r="2" spans="1:8" ht="15" x14ac:dyDescent="0.2">
      <c r="A2" s="565" t="s">
        <v>323</v>
      </c>
      <c r="B2" s="565" t="s">
        <v>252</v>
      </c>
      <c r="C2" s="565" t="s">
        <v>324</v>
      </c>
      <c r="D2" s="565" t="s">
        <v>325</v>
      </c>
      <c r="E2" s="565" t="s">
        <v>18</v>
      </c>
      <c r="F2" s="565"/>
      <c r="G2" s="565"/>
      <c r="H2" s="565"/>
    </row>
    <row r="3" spans="1:8" ht="60" x14ac:dyDescent="0.2">
      <c r="A3" s="565"/>
      <c r="B3" s="565"/>
      <c r="C3" s="565"/>
      <c r="D3" s="565"/>
      <c r="E3" s="181" t="s">
        <v>954</v>
      </c>
      <c r="F3" s="181" t="s">
        <v>955</v>
      </c>
      <c r="G3" s="181" t="s">
        <v>956</v>
      </c>
      <c r="H3" s="181" t="s">
        <v>256</v>
      </c>
    </row>
    <row r="4" spans="1:8" ht="15" x14ac:dyDescent="0.2">
      <c r="A4" s="181">
        <v>1</v>
      </c>
      <c r="B4" s="181">
        <v>2</v>
      </c>
      <c r="C4" s="181">
        <v>3</v>
      </c>
      <c r="D4" s="181">
        <v>4</v>
      </c>
      <c r="E4" s="181">
        <v>5</v>
      </c>
      <c r="F4" s="181">
        <v>6</v>
      </c>
      <c r="G4" s="181">
        <v>7</v>
      </c>
      <c r="H4" s="181">
        <v>8</v>
      </c>
    </row>
    <row r="5" spans="1:8" ht="15" x14ac:dyDescent="0.2">
      <c r="A5" s="181">
        <v>1</v>
      </c>
      <c r="B5" s="182" t="s">
        <v>326</v>
      </c>
      <c r="C5" s="181">
        <v>26000</v>
      </c>
      <c r="D5" s="181" t="s">
        <v>258</v>
      </c>
      <c r="E5" s="266">
        <f>E6+E8+E9+E10</f>
        <v>59113946.710000008</v>
      </c>
      <c r="F5" s="511">
        <f t="shared" ref="F5:G5" si="0">F6+F8+F9+F10</f>
        <v>39469934.659999996</v>
      </c>
      <c r="G5" s="511">
        <f t="shared" si="0"/>
        <v>39273224.659999996</v>
      </c>
      <c r="H5" s="266">
        <f t="shared" ref="H5" si="1">H6+H8+H9+H10</f>
        <v>0</v>
      </c>
    </row>
    <row r="6" spans="1:8" ht="15" x14ac:dyDescent="0.2">
      <c r="A6" s="565" t="s">
        <v>327</v>
      </c>
      <c r="B6" s="184" t="s">
        <v>215</v>
      </c>
      <c r="C6" s="565">
        <v>26100</v>
      </c>
      <c r="D6" s="565" t="s">
        <v>258</v>
      </c>
      <c r="E6" s="567"/>
      <c r="F6" s="567"/>
      <c r="G6" s="567"/>
      <c r="H6" s="567"/>
    </row>
    <row r="7" spans="1:8" ht="126" customHeight="1" x14ac:dyDescent="0.2">
      <c r="A7" s="565"/>
      <c r="B7" s="184" t="s">
        <v>328</v>
      </c>
      <c r="C7" s="565"/>
      <c r="D7" s="565"/>
      <c r="E7" s="567"/>
      <c r="F7" s="567"/>
      <c r="G7" s="567"/>
      <c r="H7" s="567"/>
    </row>
    <row r="8" spans="1:8" ht="45" x14ac:dyDescent="0.2">
      <c r="A8" s="181" t="s">
        <v>329</v>
      </c>
      <c r="B8" s="184" t="s">
        <v>330</v>
      </c>
      <c r="C8" s="181">
        <v>26200</v>
      </c>
      <c r="D8" s="181" t="s">
        <v>258</v>
      </c>
      <c r="E8" s="266"/>
      <c r="F8" s="266"/>
      <c r="G8" s="266"/>
      <c r="H8" s="266"/>
    </row>
    <row r="9" spans="1:8" ht="45" x14ac:dyDescent="0.2">
      <c r="A9" s="181" t="s">
        <v>331</v>
      </c>
      <c r="B9" s="184" t="s">
        <v>332</v>
      </c>
      <c r="C9" s="181">
        <v>26300</v>
      </c>
      <c r="D9" s="181" t="s">
        <v>258</v>
      </c>
      <c r="E9" s="266"/>
      <c r="F9" s="266"/>
      <c r="G9" s="266"/>
      <c r="H9" s="266"/>
    </row>
    <row r="10" spans="1:8" ht="45" x14ac:dyDescent="0.2">
      <c r="A10" s="181" t="s">
        <v>333</v>
      </c>
      <c r="B10" s="184" t="s">
        <v>334</v>
      </c>
      <c r="C10" s="181">
        <v>26400</v>
      </c>
      <c r="D10" s="181" t="s">
        <v>258</v>
      </c>
      <c r="E10" s="266">
        <f>'Раздел 1'!E70</f>
        <v>59113946.710000008</v>
      </c>
      <c r="F10" s="266">
        <f>'Раздел 1'!F70</f>
        <v>39469934.659999996</v>
      </c>
      <c r="G10" s="274">
        <f>'Раздел 1'!G70</f>
        <v>39273224.659999996</v>
      </c>
      <c r="H10" s="266"/>
    </row>
    <row r="11" spans="1:8" ht="15" x14ac:dyDescent="0.2">
      <c r="A11" s="579" t="s">
        <v>335</v>
      </c>
      <c r="B11" s="185" t="s">
        <v>215</v>
      </c>
      <c r="C11" s="565">
        <v>26410</v>
      </c>
      <c r="D11" s="565" t="s">
        <v>258</v>
      </c>
      <c r="E11" s="567">
        <f>E13</f>
        <v>9015297.9699999988</v>
      </c>
      <c r="F11" s="567">
        <f>F13</f>
        <v>5870867.1299999999</v>
      </c>
      <c r="G11" s="567">
        <f>F11</f>
        <v>5870867.1299999999</v>
      </c>
      <c r="H11" s="567">
        <f t="shared" ref="H11" si="2">H13</f>
        <v>0</v>
      </c>
    </row>
    <row r="12" spans="1:8" ht="30" x14ac:dyDescent="0.2">
      <c r="A12" s="579"/>
      <c r="B12" s="185" t="s">
        <v>336</v>
      </c>
      <c r="C12" s="565"/>
      <c r="D12" s="565"/>
      <c r="E12" s="567"/>
      <c r="F12" s="567"/>
      <c r="G12" s="567"/>
      <c r="H12" s="567"/>
    </row>
    <row r="13" spans="1:8" ht="15" x14ac:dyDescent="0.2">
      <c r="A13" s="565" t="s">
        <v>337</v>
      </c>
      <c r="B13" s="187" t="s">
        <v>215</v>
      </c>
      <c r="C13" s="565">
        <v>26411</v>
      </c>
      <c r="D13" s="565" t="s">
        <v>258</v>
      </c>
      <c r="E13" s="567">
        <f>'Раздел 3 (новый) '!G15+'Раздел 3 (новый) '!G60</f>
        <v>9015297.9699999988</v>
      </c>
      <c r="F13" s="567">
        <v>5870867.1299999999</v>
      </c>
      <c r="G13" s="567">
        <v>5870867.1299999999</v>
      </c>
      <c r="H13" s="567"/>
    </row>
    <row r="14" spans="1:8" x14ac:dyDescent="0.2">
      <c r="A14" s="565"/>
      <c r="B14" s="195" t="s">
        <v>338</v>
      </c>
      <c r="C14" s="565"/>
      <c r="D14" s="565"/>
      <c r="E14" s="567"/>
      <c r="F14" s="567"/>
      <c r="G14" s="567"/>
      <c r="H14" s="567"/>
    </row>
    <row r="15" spans="1:8" ht="15" x14ac:dyDescent="0.2">
      <c r="A15" s="181" t="s">
        <v>339</v>
      </c>
      <c r="B15" s="187" t="s">
        <v>340</v>
      </c>
      <c r="C15" s="181">
        <v>26412</v>
      </c>
      <c r="D15" s="181" t="s">
        <v>258</v>
      </c>
      <c r="E15" s="266"/>
      <c r="F15" s="266"/>
      <c r="G15" s="266"/>
      <c r="H15" s="266"/>
    </row>
    <row r="16" spans="1:8" ht="25.5" x14ac:dyDescent="0.2">
      <c r="A16" s="181" t="s">
        <v>341</v>
      </c>
      <c r="B16" s="188" t="s">
        <v>342</v>
      </c>
      <c r="C16" s="181">
        <v>26420</v>
      </c>
      <c r="D16" s="181" t="s">
        <v>258</v>
      </c>
      <c r="E16" s="266"/>
      <c r="F16" s="266"/>
      <c r="G16" s="266"/>
      <c r="H16" s="266"/>
    </row>
    <row r="17" spans="1:8" ht="15" x14ac:dyDescent="0.2">
      <c r="A17" s="565" t="s">
        <v>343</v>
      </c>
      <c r="B17" s="187" t="s">
        <v>215</v>
      </c>
      <c r="C17" s="565">
        <v>26421</v>
      </c>
      <c r="D17" s="565" t="s">
        <v>258</v>
      </c>
      <c r="E17" s="567"/>
      <c r="F17" s="567"/>
      <c r="G17" s="567"/>
      <c r="H17" s="567"/>
    </row>
    <row r="18" spans="1:8" x14ac:dyDescent="0.2">
      <c r="A18" s="565"/>
      <c r="B18" s="195" t="s">
        <v>338</v>
      </c>
      <c r="C18" s="565"/>
      <c r="D18" s="565"/>
      <c r="E18" s="567"/>
      <c r="F18" s="567"/>
      <c r="G18" s="567"/>
      <c r="H18" s="567"/>
    </row>
    <row r="19" spans="1:8" ht="15" x14ac:dyDescent="0.2">
      <c r="A19" s="181" t="s">
        <v>344</v>
      </c>
      <c r="B19" s="187" t="s">
        <v>340</v>
      </c>
      <c r="C19" s="181">
        <v>26422</v>
      </c>
      <c r="D19" s="181" t="s">
        <v>258</v>
      </c>
      <c r="E19" s="266"/>
      <c r="F19" s="266"/>
      <c r="G19" s="266"/>
      <c r="H19" s="266"/>
    </row>
    <row r="20" spans="1:8" ht="15" x14ac:dyDescent="0.2">
      <c r="A20" s="181" t="s">
        <v>345</v>
      </c>
      <c r="B20" s="188" t="s">
        <v>346</v>
      </c>
      <c r="C20" s="181">
        <v>26430</v>
      </c>
      <c r="D20" s="181" t="s">
        <v>258</v>
      </c>
      <c r="E20" s="266"/>
      <c r="F20" s="266"/>
      <c r="G20" s="266"/>
      <c r="H20" s="266"/>
    </row>
    <row r="21" spans="1:8" ht="15" x14ac:dyDescent="0.2">
      <c r="A21" s="181" t="s">
        <v>347</v>
      </c>
      <c r="B21" s="185" t="s">
        <v>348</v>
      </c>
      <c r="C21" s="181">
        <v>26440</v>
      </c>
      <c r="D21" s="181" t="s">
        <v>258</v>
      </c>
      <c r="E21" s="266"/>
      <c r="F21" s="266"/>
      <c r="G21" s="266"/>
      <c r="H21" s="266"/>
    </row>
    <row r="22" spans="1:8" ht="15" x14ac:dyDescent="0.2">
      <c r="A22" s="565" t="s">
        <v>349</v>
      </c>
      <c r="B22" s="187" t="s">
        <v>215</v>
      </c>
      <c r="C22" s="565">
        <v>26441</v>
      </c>
      <c r="D22" s="565" t="s">
        <v>258</v>
      </c>
      <c r="E22" s="567"/>
      <c r="F22" s="567"/>
      <c r="G22" s="567"/>
      <c r="H22" s="567"/>
    </row>
    <row r="23" spans="1:8" x14ac:dyDescent="0.2">
      <c r="A23" s="565"/>
      <c r="B23" s="195" t="s">
        <v>338</v>
      </c>
      <c r="C23" s="565"/>
      <c r="D23" s="565"/>
      <c r="E23" s="567"/>
      <c r="F23" s="567"/>
      <c r="G23" s="567"/>
      <c r="H23" s="567"/>
    </row>
    <row r="24" spans="1:8" ht="15" x14ac:dyDescent="0.2">
      <c r="A24" s="181" t="s">
        <v>350</v>
      </c>
      <c r="B24" s="187" t="s">
        <v>340</v>
      </c>
      <c r="C24" s="181">
        <v>26442</v>
      </c>
      <c r="D24" s="181" t="s">
        <v>258</v>
      </c>
      <c r="E24" s="266"/>
      <c r="F24" s="266"/>
      <c r="G24" s="266"/>
      <c r="H24" s="266"/>
    </row>
    <row r="25" spans="1:8" ht="15" x14ac:dyDescent="0.2">
      <c r="A25" s="181" t="s">
        <v>351</v>
      </c>
      <c r="B25" s="185" t="s">
        <v>352</v>
      </c>
      <c r="C25" s="181">
        <v>26450</v>
      </c>
      <c r="D25" s="181" t="s">
        <v>258</v>
      </c>
      <c r="E25" s="266"/>
      <c r="F25" s="266"/>
      <c r="G25" s="266"/>
      <c r="H25" s="266"/>
    </row>
    <row r="26" spans="1:8" ht="15" x14ac:dyDescent="0.2">
      <c r="A26" s="565" t="s">
        <v>353</v>
      </c>
      <c r="B26" s="187" t="s">
        <v>215</v>
      </c>
      <c r="C26" s="565">
        <v>26451</v>
      </c>
      <c r="D26" s="565" t="s">
        <v>258</v>
      </c>
      <c r="E26" s="567"/>
      <c r="F26" s="567"/>
      <c r="G26" s="567"/>
      <c r="H26" s="567"/>
    </row>
    <row r="27" spans="1:8" x14ac:dyDescent="0.2">
      <c r="A27" s="565"/>
      <c r="B27" s="195" t="s">
        <v>338</v>
      </c>
      <c r="C27" s="565"/>
      <c r="D27" s="565"/>
      <c r="E27" s="567"/>
      <c r="F27" s="567"/>
      <c r="G27" s="567"/>
      <c r="H27" s="567"/>
    </row>
    <row r="28" spans="1:8" ht="15" x14ac:dyDescent="0.2">
      <c r="A28" s="181" t="s">
        <v>354</v>
      </c>
      <c r="B28" s="195" t="s">
        <v>355</v>
      </c>
      <c r="C28" s="181">
        <v>26452</v>
      </c>
      <c r="D28" s="181" t="s">
        <v>258</v>
      </c>
      <c r="E28" s="266"/>
      <c r="F28" s="266"/>
      <c r="G28" s="266"/>
      <c r="H28" s="266"/>
    </row>
    <row r="29" spans="1:8" ht="45" x14ac:dyDescent="0.2">
      <c r="A29" s="181">
        <v>2</v>
      </c>
      <c r="B29" s="183" t="s">
        <v>356</v>
      </c>
      <c r="C29" s="181">
        <v>26500</v>
      </c>
      <c r="D29" s="181" t="s">
        <v>258</v>
      </c>
      <c r="E29" s="266">
        <f>E30</f>
        <v>59113946.710000008</v>
      </c>
      <c r="F29" s="511">
        <f t="shared" ref="F29:G29" si="3">F30</f>
        <v>40761383.659999996</v>
      </c>
      <c r="G29" s="511">
        <f t="shared" si="3"/>
        <v>40564673.659999996</v>
      </c>
      <c r="H29" s="267">
        <f t="shared" ref="H29" si="4">H30</f>
        <v>0</v>
      </c>
    </row>
    <row r="30" spans="1:8" ht="15" x14ac:dyDescent="0.2">
      <c r="A30" s="183"/>
      <c r="B30" s="181" t="s">
        <v>357</v>
      </c>
      <c r="C30" s="181">
        <v>26510</v>
      </c>
      <c r="D30" s="183"/>
      <c r="E30" s="266">
        <f>E10</f>
        <v>59113946.710000008</v>
      </c>
      <c r="F30" s="267">
        <v>40761383.659999996</v>
      </c>
      <c r="G30" s="511">
        <v>40564673.659999996</v>
      </c>
      <c r="H30" s="267">
        <f t="shared" ref="H30" si="5">H10</f>
        <v>0</v>
      </c>
    </row>
    <row r="31" spans="1:8" ht="25.5" x14ac:dyDescent="0.2">
      <c r="A31" s="181">
        <v>3</v>
      </c>
      <c r="B31" s="182" t="s">
        <v>358</v>
      </c>
      <c r="C31" s="181">
        <v>26600</v>
      </c>
      <c r="D31" s="181" t="s">
        <v>258</v>
      </c>
      <c r="E31" s="266"/>
      <c r="F31" s="266"/>
      <c r="G31" s="266"/>
      <c r="H31" s="266"/>
    </row>
    <row r="32" spans="1:8" ht="15" x14ac:dyDescent="0.2">
      <c r="A32" s="183"/>
      <c r="B32" s="181" t="s">
        <v>357</v>
      </c>
      <c r="C32" s="181">
        <v>26610</v>
      </c>
      <c r="D32" s="183"/>
      <c r="E32" s="266"/>
      <c r="F32" s="266"/>
      <c r="G32" s="266"/>
      <c r="H32" s="266"/>
    </row>
    <row r="33" spans="1:8" ht="15.75" x14ac:dyDescent="0.2">
      <c r="A33" s="196"/>
    </row>
    <row r="34" spans="1:8" s="151" customFormat="1" ht="15" x14ac:dyDescent="0.25">
      <c r="A34" s="161" t="s">
        <v>359</v>
      </c>
      <c r="B34" s="161"/>
      <c r="C34" s="577" t="s">
        <v>937</v>
      </c>
      <c r="D34" s="577"/>
      <c r="E34" s="577"/>
      <c r="F34" s="197"/>
      <c r="G34" s="577" t="s">
        <v>941</v>
      </c>
      <c r="H34" s="577"/>
    </row>
    <row r="35" spans="1:8" x14ac:dyDescent="0.2">
      <c r="A35" s="160"/>
      <c r="B35" s="160"/>
      <c r="C35" s="578" t="s">
        <v>211</v>
      </c>
      <c r="D35" s="578"/>
      <c r="E35" s="578"/>
      <c r="F35" s="192" t="s">
        <v>212</v>
      </c>
      <c r="G35" s="573" t="s">
        <v>164</v>
      </c>
      <c r="H35" s="573"/>
    </row>
    <row r="36" spans="1:8" s="151" customFormat="1" ht="15" x14ac:dyDescent="0.25">
      <c r="A36" s="194"/>
    </row>
    <row r="37" spans="1:8" s="151" customFormat="1" ht="15" x14ac:dyDescent="0.25">
      <c r="A37" s="161" t="s">
        <v>360</v>
      </c>
      <c r="B37" s="161"/>
      <c r="C37" s="577" t="s">
        <v>937</v>
      </c>
      <c r="D37" s="577"/>
      <c r="E37" s="577"/>
      <c r="F37" s="577"/>
      <c r="G37" s="577" t="s">
        <v>941</v>
      </c>
      <c r="H37" s="577"/>
    </row>
    <row r="38" spans="1:8" s="151" customFormat="1" ht="15" x14ac:dyDescent="0.25">
      <c r="A38" s="161"/>
      <c r="B38" s="161"/>
      <c r="C38" s="572" t="s">
        <v>211</v>
      </c>
      <c r="D38" s="572"/>
      <c r="E38" s="572" t="s">
        <v>361</v>
      </c>
      <c r="F38" s="572"/>
      <c r="G38" s="573" t="s">
        <v>362</v>
      </c>
      <c r="H38" s="573"/>
    </row>
    <row r="39" spans="1:8" s="151" customFormat="1" ht="15" x14ac:dyDescent="0.25">
      <c r="A39" s="194"/>
    </row>
    <row r="40" spans="1:8" s="151" customFormat="1" ht="15" x14ac:dyDescent="0.25">
      <c r="A40" s="161" t="s">
        <v>363</v>
      </c>
      <c r="B40" s="161"/>
      <c r="C40" s="161"/>
      <c r="D40" s="161"/>
      <c r="E40" s="161"/>
      <c r="F40" s="161"/>
    </row>
    <row r="41" spans="1:8" s="151" customFormat="1" ht="15.75" thickBot="1" x14ac:dyDescent="0.3">
      <c r="A41" s="198"/>
    </row>
    <row r="42" spans="1:8" s="202" customFormat="1" ht="13.5" customHeight="1" x14ac:dyDescent="0.2">
      <c r="A42" s="199"/>
      <c r="B42" s="200"/>
      <c r="C42" s="201"/>
    </row>
    <row r="43" spans="1:8" s="202" customFormat="1" ht="15.75" x14ac:dyDescent="0.25">
      <c r="A43" s="203" t="s">
        <v>364</v>
      </c>
      <c r="C43" s="204"/>
    </row>
    <row r="44" spans="1:8" s="202" customFormat="1" x14ac:dyDescent="0.2">
      <c r="A44" s="205"/>
      <c r="B44" s="206"/>
      <c r="C44" s="207"/>
    </row>
    <row r="45" spans="1:8" s="202" customFormat="1" x14ac:dyDescent="0.2">
      <c r="A45" s="574" t="s">
        <v>365</v>
      </c>
      <c r="B45" s="575"/>
      <c r="C45" s="576"/>
    </row>
    <row r="46" spans="1:8" s="202" customFormat="1" ht="6" customHeight="1" x14ac:dyDescent="0.2">
      <c r="A46" s="208"/>
      <c r="B46" s="209"/>
      <c r="C46" s="210"/>
    </row>
    <row r="47" spans="1:8" s="202" customFormat="1" x14ac:dyDescent="0.2">
      <c r="A47" s="205"/>
      <c r="B47" s="206"/>
      <c r="C47" s="207"/>
    </row>
    <row r="48" spans="1:8" s="202" customFormat="1" x14ac:dyDescent="0.2">
      <c r="A48" s="211" t="s">
        <v>212</v>
      </c>
      <c r="B48" s="575" t="s">
        <v>164</v>
      </c>
      <c r="C48" s="576"/>
    </row>
    <row r="49" spans="1:3" s="202" customFormat="1" x14ac:dyDescent="0.2">
      <c r="A49" s="212"/>
      <c r="C49" s="204"/>
    </row>
    <row r="50" spans="1:3" s="202" customFormat="1" x14ac:dyDescent="0.2">
      <c r="A50" s="213" t="s">
        <v>366</v>
      </c>
      <c r="B50" s="214" t="s">
        <v>367</v>
      </c>
      <c r="C50" s="204"/>
    </row>
    <row r="51" spans="1:3" s="202" customFormat="1" ht="3" customHeight="1" thickBot="1" x14ac:dyDescent="0.25">
      <c r="A51" s="215"/>
      <c r="B51" s="216"/>
      <c r="C51" s="217"/>
    </row>
  </sheetData>
  <mergeCells count="60">
    <mergeCell ref="A1:H1"/>
    <mergeCell ref="A2:A3"/>
    <mergeCell ref="B2:B3"/>
    <mergeCell ref="C2:C3"/>
    <mergeCell ref="D2:D3"/>
    <mergeCell ref="E2:H2"/>
    <mergeCell ref="H6:H7"/>
    <mergeCell ref="A11:A12"/>
    <mergeCell ref="C11:C12"/>
    <mergeCell ref="D11:D12"/>
    <mergeCell ref="E11:E12"/>
    <mergeCell ref="F11:F12"/>
    <mergeCell ref="G11:G12"/>
    <mergeCell ref="H11:H12"/>
    <mergeCell ref="A6:A7"/>
    <mergeCell ref="C6:C7"/>
    <mergeCell ref="D6:D7"/>
    <mergeCell ref="E6:E7"/>
    <mergeCell ref="F6:F7"/>
    <mergeCell ref="G6:G7"/>
    <mergeCell ref="H13:H14"/>
    <mergeCell ref="A17:A18"/>
    <mergeCell ref="C17:C18"/>
    <mergeCell ref="D17:D18"/>
    <mergeCell ref="E17:E18"/>
    <mergeCell ref="F17:F18"/>
    <mergeCell ref="G17:G18"/>
    <mergeCell ref="H17:H18"/>
    <mergeCell ref="A13:A14"/>
    <mergeCell ref="C13:C14"/>
    <mergeCell ref="D13:D14"/>
    <mergeCell ref="E13:E14"/>
    <mergeCell ref="F13:F14"/>
    <mergeCell ref="G13:G14"/>
    <mergeCell ref="H22:H23"/>
    <mergeCell ref="A26:A27"/>
    <mergeCell ref="C26:C27"/>
    <mergeCell ref="D26:D27"/>
    <mergeCell ref="E26:E27"/>
    <mergeCell ref="F26:F27"/>
    <mergeCell ref="G26:G27"/>
    <mergeCell ref="H26:H27"/>
    <mergeCell ref="A22:A23"/>
    <mergeCell ref="C22:C23"/>
    <mergeCell ref="D22:D23"/>
    <mergeCell ref="E22:E23"/>
    <mergeCell ref="F22:F23"/>
    <mergeCell ref="G22:G23"/>
    <mergeCell ref="C34:E34"/>
    <mergeCell ref="G34:H34"/>
    <mergeCell ref="C35:E35"/>
    <mergeCell ref="G35:H35"/>
    <mergeCell ref="C37:D37"/>
    <mergeCell ref="E37:F37"/>
    <mergeCell ref="G37:H37"/>
    <mergeCell ref="C38:D38"/>
    <mergeCell ref="E38:F38"/>
    <mergeCell ref="G38:H38"/>
    <mergeCell ref="A45:C45"/>
    <mergeCell ref="B48:C48"/>
  </mergeCells>
  <hyperlinks>
    <hyperlink ref="A1" location="Par227" display="Par227" xr:uid="{00000000-0004-0000-0200-000000000000}"/>
    <hyperlink ref="B5" location="Par228" display="Par228" xr:uid="{00000000-0004-0000-0200-000001000000}"/>
    <hyperlink ref="B14" r:id="rId1" display="consultantplus://offline/ref=1460F08528B62F4BA0D53473343AEAC1B2A180FEF5A24C17E72BD441B6978A3EF2248B8EC6598595E167900FC4aDkCL" xr:uid="{00000000-0004-0000-0200-000002000000}"/>
    <hyperlink ref="B16" r:id="rId2" display="consultantplus://offline/ref=1460F08528B62F4BA0D53473343AEAC1B2A082FAF9AB4C17E72BD441B6978A3EE024D380C5559D9FB728D65AC8D7C0431BB269398E21a9k5L" xr:uid="{00000000-0004-0000-0200-000003000000}"/>
    <hyperlink ref="B18" r:id="rId3" display="consultantplus://offline/ref=1460F08528B62F4BA0D53473343AEAC1B2A180FEF5A24C17E72BD441B6978A3EF2248B8EC6598595E167900FC4aDkCL" xr:uid="{00000000-0004-0000-0200-000004000000}"/>
    <hyperlink ref="B20" location="Par232" display="Par232" xr:uid="{00000000-0004-0000-0200-000005000000}"/>
    <hyperlink ref="B23" r:id="rId4" display="consultantplus://offline/ref=1460F08528B62F4BA0D53473343AEAC1B2A180FEF5A24C17E72BD441B6978A3EF2248B8EC6598595E167900FC4aDkCL" xr:uid="{00000000-0004-0000-0200-000006000000}"/>
    <hyperlink ref="B27" r:id="rId5" display="consultantplus://offline/ref=1460F08528B62F4BA0D53473343AEAC1B2A180FEF5A24C17E72BD441B6978A3EF2248B8EC6598595E167900FC4aDkCL" xr:uid="{00000000-0004-0000-0200-000007000000}"/>
    <hyperlink ref="B28" r:id="rId6" display="consultantplus://offline/ref=1460F08528B62F4BA0D53473343AEAC1B2A084FAF9AE4C17E72BD441B6978A3EF2248B8EC6598595E167900FC4aDkCL" xr:uid="{00000000-0004-0000-0200-000008000000}"/>
    <hyperlink ref="B31" r:id="rId7" display="consultantplus://offline/ref=1460F08528B62F4BA0D53473343AEAC1B2A084FAF9AE4C17E72BD441B6978A3EF2248B8EC6598595E167900FC4aDkCL" xr:uid="{00000000-0004-0000-0200-000009000000}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85"/>
  <sheetViews>
    <sheetView view="pageBreakPreview" zoomScaleNormal="100" zoomScaleSheetLayoutView="100" workbookViewId="0">
      <pane xSplit="5" ySplit="7" topLeftCell="F78" activePane="bottomRight" state="frozen"/>
      <selection pane="topRight" activeCell="F1" sqref="F1"/>
      <selection pane="bottomLeft" activeCell="A8" sqref="A8"/>
      <selection pane="bottomRight" activeCell="F92" sqref="F92"/>
    </sheetView>
  </sheetViews>
  <sheetFormatPr defaultRowHeight="12.75" x14ac:dyDescent="0.25"/>
  <cols>
    <col min="1" max="1" width="5.28515625" style="160" bestFit="1" customWidth="1"/>
    <col min="2" max="2" width="42.140625" style="160" customWidth="1"/>
    <col min="3" max="3" width="10.5703125" style="160" customWidth="1"/>
    <col min="4" max="4" width="12.7109375" style="192" customWidth="1"/>
    <col min="5" max="5" width="15.85546875" style="222" bestFit="1" customWidth="1"/>
    <col min="6" max="6" width="14" style="160" customWidth="1"/>
    <col min="7" max="7" width="13.85546875" style="160" customWidth="1"/>
    <col min="8" max="8" width="12.85546875" style="160" customWidth="1"/>
    <col min="9" max="9" width="11" style="277" bestFit="1" customWidth="1"/>
    <col min="10" max="10" width="9.28515625" style="160" hidden="1" customWidth="1"/>
    <col min="11" max="11" width="13.5703125" style="160" customWidth="1"/>
    <col min="12" max="12" width="13.85546875" style="277" bestFit="1" customWidth="1"/>
    <col min="13" max="13" width="6.7109375" style="160" hidden="1" customWidth="1"/>
    <col min="14" max="23" width="13.28515625" style="160" customWidth="1"/>
    <col min="24" max="24" width="11.85546875" style="160" customWidth="1"/>
    <col min="25" max="26" width="13.28515625" style="160" customWidth="1"/>
    <col min="27" max="29" width="11.85546875" style="160" customWidth="1"/>
    <col min="30" max="30" width="13.28515625" style="160" customWidth="1"/>
    <col min="31" max="31" width="11.85546875" style="160" customWidth="1"/>
    <col min="32" max="32" width="12.7109375" style="160" bestFit="1" customWidth="1"/>
    <col min="33" max="33" width="11.85546875" style="160" customWidth="1"/>
    <col min="34" max="34" width="13.42578125" style="222" bestFit="1" customWidth="1"/>
    <col min="35" max="273" width="9.140625" style="160"/>
    <col min="274" max="274" width="8.85546875" style="160" customWidth="1"/>
    <col min="275" max="275" width="37.5703125" style="160" customWidth="1"/>
    <col min="276" max="276" width="10.5703125" style="160" customWidth="1"/>
    <col min="277" max="277" width="14" style="160" customWidth="1"/>
    <col min="278" max="278" width="15.85546875" style="160" bestFit="1" customWidth="1"/>
    <col min="279" max="279" width="10.85546875" style="160" bestFit="1" customWidth="1"/>
    <col min="280" max="280" width="12.140625" style="160" customWidth="1"/>
    <col min="281" max="281" width="11.85546875" style="160" customWidth="1"/>
    <col min="282" max="282" width="10.85546875" style="160" bestFit="1" customWidth="1"/>
    <col min="283" max="283" width="9.140625" style="160"/>
    <col min="284" max="284" width="12.7109375" style="160" customWidth="1"/>
    <col min="285" max="285" width="11.7109375" style="160" customWidth="1"/>
    <col min="286" max="286" width="12" style="160" customWidth="1"/>
    <col min="287" max="287" width="11.85546875" style="160" customWidth="1"/>
    <col min="288" max="289" width="13.28515625" style="160" customWidth="1"/>
    <col min="290" max="529" width="9.140625" style="160"/>
    <col min="530" max="530" width="8.85546875" style="160" customWidth="1"/>
    <col min="531" max="531" width="37.5703125" style="160" customWidth="1"/>
    <col min="532" max="532" width="10.5703125" style="160" customWidth="1"/>
    <col min="533" max="533" width="14" style="160" customWidth="1"/>
    <col min="534" max="534" width="15.85546875" style="160" bestFit="1" customWidth="1"/>
    <col min="535" max="535" width="10.85546875" style="160" bestFit="1" customWidth="1"/>
    <col min="536" max="536" width="12.140625" style="160" customWidth="1"/>
    <col min="537" max="537" width="11.85546875" style="160" customWidth="1"/>
    <col min="538" max="538" width="10.85546875" style="160" bestFit="1" customWidth="1"/>
    <col min="539" max="539" width="9.140625" style="160"/>
    <col min="540" max="540" width="12.7109375" style="160" customWidth="1"/>
    <col min="541" max="541" width="11.7109375" style="160" customWidth="1"/>
    <col min="542" max="542" width="12" style="160" customWidth="1"/>
    <col min="543" max="543" width="11.85546875" style="160" customWidth="1"/>
    <col min="544" max="545" width="13.28515625" style="160" customWidth="1"/>
    <col min="546" max="785" width="9.140625" style="160"/>
    <col min="786" max="786" width="8.85546875" style="160" customWidth="1"/>
    <col min="787" max="787" width="37.5703125" style="160" customWidth="1"/>
    <col min="788" max="788" width="10.5703125" style="160" customWidth="1"/>
    <col min="789" max="789" width="14" style="160" customWidth="1"/>
    <col min="790" max="790" width="15.85546875" style="160" bestFit="1" customWidth="1"/>
    <col min="791" max="791" width="10.85546875" style="160" bestFit="1" customWidth="1"/>
    <col min="792" max="792" width="12.140625" style="160" customWidth="1"/>
    <col min="793" max="793" width="11.85546875" style="160" customWidth="1"/>
    <col min="794" max="794" width="10.85546875" style="160" bestFit="1" customWidth="1"/>
    <col min="795" max="795" width="9.140625" style="160"/>
    <col min="796" max="796" width="12.7109375" style="160" customWidth="1"/>
    <col min="797" max="797" width="11.7109375" style="160" customWidth="1"/>
    <col min="798" max="798" width="12" style="160" customWidth="1"/>
    <col min="799" max="799" width="11.85546875" style="160" customWidth="1"/>
    <col min="800" max="801" width="13.28515625" style="160" customWidth="1"/>
    <col min="802" max="1041" width="9.140625" style="160"/>
    <col min="1042" max="1042" width="8.85546875" style="160" customWidth="1"/>
    <col min="1043" max="1043" width="37.5703125" style="160" customWidth="1"/>
    <col min="1044" max="1044" width="10.5703125" style="160" customWidth="1"/>
    <col min="1045" max="1045" width="14" style="160" customWidth="1"/>
    <col min="1046" max="1046" width="15.85546875" style="160" bestFit="1" customWidth="1"/>
    <col min="1047" max="1047" width="10.85546875" style="160" bestFit="1" customWidth="1"/>
    <col min="1048" max="1048" width="12.140625" style="160" customWidth="1"/>
    <col min="1049" max="1049" width="11.85546875" style="160" customWidth="1"/>
    <col min="1050" max="1050" width="10.85546875" style="160" bestFit="1" customWidth="1"/>
    <col min="1051" max="1051" width="9.140625" style="160"/>
    <col min="1052" max="1052" width="12.7109375" style="160" customWidth="1"/>
    <col min="1053" max="1053" width="11.7109375" style="160" customWidth="1"/>
    <col min="1054" max="1054" width="12" style="160" customWidth="1"/>
    <col min="1055" max="1055" width="11.85546875" style="160" customWidth="1"/>
    <col min="1056" max="1057" width="13.28515625" style="160" customWidth="1"/>
    <col min="1058" max="1297" width="9.140625" style="160"/>
    <col min="1298" max="1298" width="8.85546875" style="160" customWidth="1"/>
    <col min="1299" max="1299" width="37.5703125" style="160" customWidth="1"/>
    <col min="1300" max="1300" width="10.5703125" style="160" customWidth="1"/>
    <col min="1301" max="1301" width="14" style="160" customWidth="1"/>
    <col min="1302" max="1302" width="15.85546875" style="160" bestFit="1" customWidth="1"/>
    <col min="1303" max="1303" width="10.85546875" style="160" bestFit="1" customWidth="1"/>
    <col min="1304" max="1304" width="12.140625" style="160" customWidth="1"/>
    <col min="1305" max="1305" width="11.85546875" style="160" customWidth="1"/>
    <col min="1306" max="1306" width="10.85546875" style="160" bestFit="1" customWidth="1"/>
    <col min="1307" max="1307" width="9.140625" style="160"/>
    <col min="1308" max="1308" width="12.7109375" style="160" customWidth="1"/>
    <col min="1309" max="1309" width="11.7109375" style="160" customWidth="1"/>
    <col min="1310" max="1310" width="12" style="160" customWidth="1"/>
    <col min="1311" max="1311" width="11.85546875" style="160" customWidth="1"/>
    <col min="1312" max="1313" width="13.28515625" style="160" customWidth="1"/>
    <col min="1314" max="1553" width="9.140625" style="160"/>
    <col min="1554" max="1554" width="8.85546875" style="160" customWidth="1"/>
    <col min="1555" max="1555" width="37.5703125" style="160" customWidth="1"/>
    <col min="1556" max="1556" width="10.5703125" style="160" customWidth="1"/>
    <col min="1557" max="1557" width="14" style="160" customWidth="1"/>
    <col min="1558" max="1558" width="15.85546875" style="160" bestFit="1" customWidth="1"/>
    <col min="1559" max="1559" width="10.85546875" style="160" bestFit="1" customWidth="1"/>
    <col min="1560" max="1560" width="12.140625" style="160" customWidth="1"/>
    <col min="1561" max="1561" width="11.85546875" style="160" customWidth="1"/>
    <col min="1562" max="1562" width="10.85546875" style="160" bestFit="1" customWidth="1"/>
    <col min="1563" max="1563" width="9.140625" style="160"/>
    <col min="1564" max="1564" width="12.7109375" style="160" customWidth="1"/>
    <col min="1565" max="1565" width="11.7109375" style="160" customWidth="1"/>
    <col min="1566" max="1566" width="12" style="160" customWidth="1"/>
    <col min="1567" max="1567" width="11.85546875" style="160" customWidth="1"/>
    <col min="1568" max="1569" width="13.28515625" style="160" customWidth="1"/>
    <col min="1570" max="1809" width="9.140625" style="160"/>
    <col min="1810" max="1810" width="8.85546875" style="160" customWidth="1"/>
    <col min="1811" max="1811" width="37.5703125" style="160" customWidth="1"/>
    <col min="1812" max="1812" width="10.5703125" style="160" customWidth="1"/>
    <col min="1813" max="1813" width="14" style="160" customWidth="1"/>
    <col min="1814" max="1814" width="15.85546875" style="160" bestFit="1" customWidth="1"/>
    <col min="1815" max="1815" width="10.85546875" style="160" bestFit="1" customWidth="1"/>
    <col min="1816" max="1816" width="12.140625" style="160" customWidth="1"/>
    <col min="1817" max="1817" width="11.85546875" style="160" customWidth="1"/>
    <col min="1818" max="1818" width="10.85546875" style="160" bestFit="1" customWidth="1"/>
    <col min="1819" max="1819" width="9.140625" style="160"/>
    <col min="1820" max="1820" width="12.7109375" style="160" customWidth="1"/>
    <col min="1821" max="1821" width="11.7109375" style="160" customWidth="1"/>
    <col min="1822" max="1822" width="12" style="160" customWidth="1"/>
    <col min="1823" max="1823" width="11.85546875" style="160" customWidth="1"/>
    <col min="1824" max="1825" width="13.28515625" style="160" customWidth="1"/>
    <col min="1826" max="2065" width="9.140625" style="160"/>
    <col min="2066" max="2066" width="8.85546875" style="160" customWidth="1"/>
    <col min="2067" max="2067" width="37.5703125" style="160" customWidth="1"/>
    <col min="2068" max="2068" width="10.5703125" style="160" customWidth="1"/>
    <col min="2069" max="2069" width="14" style="160" customWidth="1"/>
    <col min="2070" max="2070" width="15.85546875" style="160" bestFit="1" customWidth="1"/>
    <col min="2071" max="2071" width="10.85546875" style="160" bestFit="1" customWidth="1"/>
    <col min="2072" max="2072" width="12.140625" style="160" customWidth="1"/>
    <col min="2073" max="2073" width="11.85546875" style="160" customWidth="1"/>
    <col min="2074" max="2074" width="10.85546875" style="160" bestFit="1" customWidth="1"/>
    <col min="2075" max="2075" width="9.140625" style="160"/>
    <col min="2076" max="2076" width="12.7109375" style="160" customWidth="1"/>
    <col min="2077" max="2077" width="11.7109375" style="160" customWidth="1"/>
    <col min="2078" max="2078" width="12" style="160" customWidth="1"/>
    <col min="2079" max="2079" width="11.85546875" style="160" customWidth="1"/>
    <col min="2080" max="2081" width="13.28515625" style="160" customWidth="1"/>
    <col min="2082" max="2321" width="9.140625" style="160"/>
    <col min="2322" max="2322" width="8.85546875" style="160" customWidth="1"/>
    <col min="2323" max="2323" width="37.5703125" style="160" customWidth="1"/>
    <col min="2324" max="2324" width="10.5703125" style="160" customWidth="1"/>
    <col min="2325" max="2325" width="14" style="160" customWidth="1"/>
    <col min="2326" max="2326" width="15.85546875" style="160" bestFit="1" customWidth="1"/>
    <col min="2327" max="2327" width="10.85546875" style="160" bestFit="1" customWidth="1"/>
    <col min="2328" max="2328" width="12.140625" style="160" customWidth="1"/>
    <col min="2329" max="2329" width="11.85546875" style="160" customWidth="1"/>
    <col min="2330" max="2330" width="10.85546875" style="160" bestFit="1" customWidth="1"/>
    <col min="2331" max="2331" width="9.140625" style="160"/>
    <col min="2332" max="2332" width="12.7109375" style="160" customWidth="1"/>
    <col min="2333" max="2333" width="11.7109375" style="160" customWidth="1"/>
    <col min="2334" max="2334" width="12" style="160" customWidth="1"/>
    <col min="2335" max="2335" width="11.85546875" style="160" customWidth="1"/>
    <col min="2336" max="2337" width="13.28515625" style="160" customWidth="1"/>
    <col min="2338" max="2577" width="9.140625" style="160"/>
    <col min="2578" max="2578" width="8.85546875" style="160" customWidth="1"/>
    <col min="2579" max="2579" width="37.5703125" style="160" customWidth="1"/>
    <col min="2580" max="2580" width="10.5703125" style="160" customWidth="1"/>
    <col min="2581" max="2581" width="14" style="160" customWidth="1"/>
    <col min="2582" max="2582" width="15.85546875" style="160" bestFit="1" customWidth="1"/>
    <col min="2583" max="2583" width="10.85546875" style="160" bestFit="1" customWidth="1"/>
    <col min="2584" max="2584" width="12.140625" style="160" customWidth="1"/>
    <col min="2585" max="2585" width="11.85546875" style="160" customWidth="1"/>
    <col min="2586" max="2586" width="10.85546875" style="160" bestFit="1" customWidth="1"/>
    <col min="2587" max="2587" width="9.140625" style="160"/>
    <col min="2588" max="2588" width="12.7109375" style="160" customWidth="1"/>
    <col min="2589" max="2589" width="11.7109375" style="160" customWidth="1"/>
    <col min="2590" max="2590" width="12" style="160" customWidth="1"/>
    <col min="2591" max="2591" width="11.85546875" style="160" customWidth="1"/>
    <col min="2592" max="2593" width="13.28515625" style="160" customWidth="1"/>
    <col min="2594" max="2833" width="9.140625" style="160"/>
    <col min="2834" max="2834" width="8.85546875" style="160" customWidth="1"/>
    <col min="2835" max="2835" width="37.5703125" style="160" customWidth="1"/>
    <col min="2836" max="2836" width="10.5703125" style="160" customWidth="1"/>
    <col min="2837" max="2837" width="14" style="160" customWidth="1"/>
    <col min="2838" max="2838" width="15.85546875" style="160" bestFit="1" customWidth="1"/>
    <col min="2839" max="2839" width="10.85546875" style="160" bestFit="1" customWidth="1"/>
    <col min="2840" max="2840" width="12.140625" style="160" customWidth="1"/>
    <col min="2841" max="2841" width="11.85546875" style="160" customWidth="1"/>
    <col min="2842" max="2842" width="10.85546875" style="160" bestFit="1" customWidth="1"/>
    <col min="2843" max="2843" width="9.140625" style="160"/>
    <col min="2844" max="2844" width="12.7109375" style="160" customWidth="1"/>
    <col min="2845" max="2845" width="11.7109375" style="160" customWidth="1"/>
    <col min="2846" max="2846" width="12" style="160" customWidth="1"/>
    <col min="2847" max="2847" width="11.85546875" style="160" customWidth="1"/>
    <col min="2848" max="2849" width="13.28515625" style="160" customWidth="1"/>
    <col min="2850" max="3089" width="9.140625" style="160"/>
    <col min="3090" max="3090" width="8.85546875" style="160" customWidth="1"/>
    <col min="3091" max="3091" width="37.5703125" style="160" customWidth="1"/>
    <col min="3092" max="3092" width="10.5703125" style="160" customWidth="1"/>
    <col min="3093" max="3093" width="14" style="160" customWidth="1"/>
    <col min="3094" max="3094" width="15.85546875" style="160" bestFit="1" customWidth="1"/>
    <col min="3095" max="3095" width="10.85546875" style="160" bestFit="1" customWidth="1"/>
    <col min="3096" max="3096" width="12.140625" style="160" customWidth="1"/>
    <col min="3097" max="3097" width="11.85546875" style="160" customWidth="1"/>
    <col min="3098" max="3098" width="10.85546875" style="160" bestFit="1" customWidth="1"/>
    <col min="3099" max="3099" width="9.140625" style="160"/>
    <col min="3100" max="3100" width="12.7109375" style="160" customWidth="1"/>
    <col min="3101" max="3101" width="11.7109375" style="160" customWidth="1"/>
    <col min="3102" max="3102" width="12" style="160" customWidth="1"/>
    <col min="3103" max="3103" width="11.85546875" style="160" customWidth="1"/>
    <col min="3104" max="3105" width="13.28515625" style="160" customWidth="1"/>
    <col min="3106" max="3345" width="9.140625" style="160"/>
    <col min="3346" max="3346" width="8.85546875" style="160" customWidth="1"/>
    <col min="3347" max="3347" width="37.5703125" style="160" customWidth="1"/>
    <col min="3348" max="3348" width="10.5703125" style="160" customWidth="1"/>
    <col min="3349" max="3349" width="14" style="160" customWidth="1"/>
    <col min="3350" max="3350" width="15.85546875" style="160" bestFit="1" customWidth="1"/>
    <col min="3351" max="3351" width="10.85546875" style="160" bestFit="1" customWidth="1"/>
    <col min="3352" max="3352" width="12.140625" style="160" customWidth="1"/>
    <col min="3353" max="3353" width="11.85546875" style="160" customWidth="1"/>
    <col min="3354" max="3354" width="10.85546875" style="160" bestFit="1" customWidth="1"/>
    <col min="3355" max="3355" width="9.140625" style="160"/>
    <col min="3356" max="3356" width="12.7109375" style="160" customWidth="1"/>
    <col min="3357" max="3357" width="11.7109375" style="160" customWidth="1"/>
    <col min="3358" max="3358" width="12" style="160" customWidth="1"/>
    <col min="3359" max="3359" width="11.85546875" style="160" customWidth="1"/>
    <col min="3360" max="3361" width="13.28515625" style="160" customWidth="1"/>
    <col min="3362" max="3601" width="9.140625" style="160"/>
    <col min="3602" max="3602" width="8.85546875" style="160" customWidth="1"/>
    <col min="3603" max="3603" width="37.5703125" style="160" customWidth="1"/>
    <col min="3604" max="3604" width="10.5703125" style="160" customWidth="1"/>
    <col min="3605" max="3605" width="14" style="160" customWidth="1"/>
    <col min="3606" max="3606" width="15.85546875" style="160" bestFit="1" customWidth="1"/>
    <col min="3607" max="3607" width="10.85546875" style="160" bestFit="1" customWidth="1"/>
    <col min="3608" max="3608" width="12.140625" style="160" customWidth="1"/>
    <col min="3609" max="3609" width="11.85546875" style="160" customWidth="1"/>
    <col min="3610" max="3610" width="10.85546875" style="160" bestFit="1" customWidth="1"/>
    <col min="3611" max="3611" width="9.140625" style="160"/>
    <col min="3612" max="3612" width="12.7109375" style="160" customWidth="1"/>
    <col min="3613" max="3613" width="11.7109375" style="160" customWidth="1"/>
    <col min="3614" max="3614" width="12" style="160" customWidth="1"/>
    <col min="3615" max="3615" width="11.85546875" style="160" customWidth="1"/>
    <col min="3616" max="3617" width="13.28515625" style="160" customWidth="1"/>
    <col min="3618" max="3857" width="9.140625" style="160"/>
    <col min="3858" max="3858" width="8.85546875" style="160" customWidth="1"/>
    <col min="3859" max="3859" width="37.5703125" style="160" customWidth="1"/>
    <col min="3860" max="3860" width="10.5703125" style="160" customWidth="1"/>
    <col min="3861" max="3861" width="14" style="160" customWidth="1"/>
    <col min="3862" max="3862" width="15.85546875" style="160" bestFit="1" customWidth="1"/>
    <col min="3863" max="3863" width="10.85546875" style="160" bestFit="1" customWidth="1"/>
    <col min="3864" max="3864" width="12.140625" style="160" customWidth="1"/>
    <col min="3865" max="3865" width="11.85546875" style="160" customWidth="1"/>
    <col min="3866" max="3866" width="10.85546875" style="160" bestFit="1" customWidth="1"/>
    <col min="3867" max="3867" width="9.140625" style="160"/>
    <col min="3868" max="3868" width="12.7109375" style="160" customWidth="1"/>
    <col min="3869" max="3869" width="11.7109375" style="160" customWidth="1"/>
    <col min="3870" max="3870" width="12" style="160" customWidth="1"/>
    <col min="3871" max="3871" width="11.85546875" style="160" customWidth="1"/>
    <col min="3872" max="3873" width="13.28515625" style="160" customWidth="1"/>
    <col min="3874" max="4113" width="9.140625" style="160"/>
    <col min="4114" max="4114" width="8.85546875" style="160" customWidth="1"/>
    <col min="4115" max="4115" width="37.5703125" style="160" customWidth="1"/>
    <col min="4116" max="4116" width="10.5703125" style="160" customWidth="1"/>
    <col min="4117" max="4117" width="14" style="160" customWidth="1"/>
    <col min="4118" max="4118" width="15.85546875" style="160" bestFit="1" customWidth="1"/>
    <col min="4119" max="4119" width="10.85546875" style="160" bestFit="1" customWidth="1"/>
    <col min="4120" max="4120" width="12.140625" style="160" customWidth="1"/>
    <col min="4121" max="4121" width="11.85546875" style="160" customWidth="1"/>
    <col min="4122" max="4122" width="10.85546875" style="160" bestFit="1" customWidth="1"/>
    <col min="4123" max="4123" width="9.140625" style="160"/>
    <col min="4124" max="4124" width="12.7109375" style="160" customWidth="1"/>
    <col min="4125" max="4125" width="11.7109375" style="160" customWidth="1"/>
    <col min="4126" max="4126" width="12" style="160" customWidth="1"/>
    <col min="4127" max="4127" width="11.85546875" style="160" customWidth="1"/>
    <col min="4128" max="4129" width="13.28515625" style="160" customWidth="1"/>
    <col min="4130" max="4369" width="9.140625" style="160"/>
    <col min="4370" max="4370" width="8.85546875" style="160" customWidth="1"/>
    <col min="4371" max="4371" width="37.5703125" style="160" customWidth="1"/>
    <col min="4372" max="4372" width="10.5703125" style="160" customWidth="1"/>
    <col min="4373" max="4373" width="14" style="160" customWidth="1"/>
    <col min="4374" max="4374" width="15.85546875" style="160" bestFit="1" customWidth="1"/>
    <col min="4375" max="4375" width="10.85546875" style="160" bestFit="1" customWidth="1"/>
    <col min="4376" max="4376" width="12.140625" style="160" customWidth="1"/>
    <col min="4377" max="4377" width="11.85546875" style="160" customWidth="1"/>
    <col min="4378" max="4378" width="10.85546875" style="160" bestFit="1" customWidth="1"/>
    <col min="4379" max="4379" width="9.140625" style="160"/>
    <col min="4380" max="4380" width="12.7109375" style="160" customWidth="1"/>
    <col min="4381" max="4381" width="11.7109375" style="160" customWidth="1"/>
    <col min="4382" max="4382" width="12" style="160" customWidth="1"/>
    <col min="4383" max="4383" width="11.85546875" style="160" customWidth="1"/>
    <col min="4384" max="4385" width="13.28515625" style="160" customWidth="1"/>
    <col min="4386" max="4625" width="9.140625" style="160"/>
    <col min="4626" max="4626" width="8.85546875" style="160" customWidth="1"/>
    <col min="4627" max="4627" width="37.5703125" style="160" customWidth="1"/>
    <col min="4628" max="4628" width="10.5703125" style="160" customWidth="1"/>
    <col min="4629" max="4629" width="14" style="160" customWidth="1"/>
    <col min="4630" max="4630" width="15.85546875" style="160" bestFit="1" customWidth="1"/>
    <col min="4631" max="4631" width="10.85546875" style="160" bestFit="1" customWidth="1"/>
    <col min="4632" max="4632" width="12.140625" style="160" customWidth="1"/>
    <col min="4633" max="4633" width="11.85546875" style="160" customWidth="1"/>
    <col min="4634" max="4634" width="10.85546875" style="160" bestFit="1" customWidth="1"/>
    <col min="4635" max="4635" width="9.140625" style="160"/>
    <col min="4636" max="4636" width="12.7109375" style="160" customWidth="1"/>
    <col min="4637" max="4637" width="11.7109375" style="160" customWidth="1"/>
    <col min="4638" max="4638" width="12" style="160" customWidth="1"/>
    <col min="4639" max="4639" width="11.85546875" style="160" customWidth="1"/>
    <col min="4640" max="4641" width="13.28515625" style="160" customWidth="1"/>
    <col min="4642" max="4881" width="9.140625" style="160"/>
    <col min="4882" max="4882" width="8.85546875" style="160" customWidth="1"/>
    <col min="4883" max="4883" width="37.5703125" style="160" customWidth="1"/>
    <col min="4884" max="4884" width="10.5703125" style="160" customWidth="1"/>
    <col min="4885" max="4885" width="14" style="160" customWidth="1"/>
    <col min="4886" max="4886" width="15.85546875" style="160" bestFit="1" customWidth="1"/>
    <col min="4887" max="4887" width="10.85546875" style="160" bestFit="1" customWidth="1"/>
    <col min="4888" max="4888" width="12.140625" style="160" customWidth="1"/>
    <col min="4889" max="4889" width="11.85546875" style="160" customWidth="1"/>
    <col min="4890" max="4890" width="10.85546875" style="160" bestFit="1" customWidth="1"/>
    <col min="4891" max="4891" width="9.140625" style="160"/>
    <col min="4892" max="4892" width="12.7109375" style="160" customWidth="1"/>
    <col min="4893" max="4893" width="11.7109375" style="160" customWidth="1"/>
    <col min="4894" max="4894" width="12" style="160" customWidth="1"/>
    <col min="4895" max="4895" width="11.85546875" style="160" customWidth="1"/>
    <col min="4896" max="4897" width="13.28515625" style="160" customWidth="1"/>
    <col min="4898" max="5137" width="9.140625" style="160"/>
    <col min="5138" max="5138" width="8.85546875" style="160" customWidth="1"/>
    <col min="5139" max="5139" width="37.5703125" style="160" customWidth="1"/>
    <col min="5140" max="5140" width="10.5703125" style="160" customWidth="1"/>
    <col min="5141" max="5141" width="14" style="160" customWidth="1"/>
    <col min="5142" max="5142" width="15.85546875" style="160" bestFit="1" customWidth="1"/>
    <col min="5143" max="5143" width="10.85546875" style="160" bestFit="1" customWidth="1"/>
    <col min="5144" max="5144" width="12.140625" style="160" customWidth="1"/>
    <col min="5145" max="5145" width="11.85546875" style="160" customWidth="1"/>
    <col min="5146" max="5146" width="10.85546875" style="160" bestFit="1" customWidth="1"/>
    <col min="5147" max="5147" width="9.140625" style="160"/>
    <col min="5148" max="5148" width="12.7109375" style="160" customWidth="1"/>
    <col min="5149" max="5149" width="11.7109375" style="160" customWidth="1"/>
    <col min="5150" max="5150" width="12" style="160" customWidth="1"/>
    <col min="5151" max="5151" width="11.85546875" style="160" customWidth="1"/>
    <col min="5152" max="5153" width="13.28515625" style="160" customWidth="1"/>
    <col min="5154" max="5393" width="9.140625" style="160"/>
    <col min="5394" max="5394" width="8.85546875" style="160" customWidth="1"/>
    <col min="5395" max="5395" width="37.5703125" style="160" customWidth="1"/>
    <col min="5396" max="5396" width="10.5703125" style="160" customWidth="1"/>
    <col min="5397" max="5397" width="14" style="160" customWidth="1"/>
    <col min="5398" max="5398" width="15.85546875" style="160" bestFit="1" customWidth="1"/>
    <col min="5399" max="5399" width="10.85546875" style="160" bestFit="1" customWidth="1"/>
    <col min="5400" max="5400" width="12.140625" style="160" customWidth="1"/>
    <col min="5401" max="5401" width="11.85546875" style="160" customWidth="1"/>
    <col min="5402" max="5402" width="10.85546875" style="160" bestFit="1" customWidth="1"/>
    <col min="5403" max="5403" width="9.140625" style="160"/>
    <col min="5404" max="5404" width="12.7109375" style="160" customWidth="1"/>
    <col min="5405" max="5405" width="11.7109375" style="160" customWidth="1"/>
    <col min="5406" max="5406" width="12" style="160" customWidth="1"/>
    <col min="5407" max="5407" width="11.85546875" style="160" customWidth="1"/>
    <col min="5408" max="5409" width="13.28515625" style="160" customWidth="1"/>
    <col min="5410" max="5649" width="9.140625" style="160"/>
    <col min="5650" max="5650" width="8.85546875" style="160" customWidth="1"/>
    <col min="5651" max="5651" width="37.5703125" style="160" customWidth="1"/>
    <col min="5652" max="5652" width="10.5703125" style="160" customWidth="1"/>
    <col min="5653" max="5653" width="14" style="160" customWidth="1"/>
    <col min="5654" max="5654" width="15.85546875" style="160" bestFit="1" customWidth="1"/>
    <col min="5655" max="5655" width="10.85546875" style="160" bestFit="1" customWidth="1"/>
    <col min="5656" max="5656" width="12.140625" style="160" customWidth="1"/>
    <col min="5657" max="5657" width="11.85546875" style="160" customWidth="1"/>
    <col min="5658" max="5658" width="10.85546875" style="160" bestFit="1" customWidth="1"/>
    <col min="5659" max="5659" width="9.140625" style="160"/>
    <col min="5660" max="5660" width="12.7109375" style="160" customWidth="1"/>
    <col min="5661" max="5661" width="11.7109375" style="160" customWidth="1"/>
    <col min="5662" max="5662" width="12" style="160" customWidth="1"/>
    <col min="5663" max="5663" width="11.85546875" style="160" customWidth="1"/>
    <col min="5664" max="5665" width="13.28515625" style="160" customWidth="1"/>
    <col min="5666" max="5905" width="9.140625" style="160"/>
    <col min="5906" max="5906" width="8.85546875" style="160" customWidth="1"/>
    <col min="5907" max="5907" width="37.5703125" style="160" customWidth="1"/>
    <col min="5908" max="5908" width="10.5703125" style="160" customWidth="1"/>
    <col min="5909" max="5909" width="14" style="160" customWidth="1"/>
    <col min="5910" max="5910" width="15.85546875" style="160" bestFit="1" customWidth="1"/>
    <col min="5911" max="5911" width="10.85546875" style="160" bestFit="1" customWidth="1"/>
    <col min="5912" max="5912" width="12.140625" style="160" customWidth="1"/>
    <col min="5913" max="5913" width="11.85546875" style="160" customWidth="1"/>
    <col min="5914" max="5914" width="10.85546875" style="160" bestFit="1" customWidth="1"/>
    <col min="5915" max="5915" width="9.140625" style="160"/>
    <col min="5916" max="5916" width="12.7109375" style="160" customWidth="1"/>
    <col min="5917" max="5917" width="11.7109375" style="160" customWidth="1"/>
    <col min="5918" max="5918" width="12" style="160" customWidth="1"/>
    <col min="5919" max="5919" width="11.85546875" style="160" customWidth="1"/>
    <col min="5920" max="5921" width="13.28515625" style="160" customWidth="1"/>
    <col min="5922" max="6161" width="9.140625" style="160"/>
    <col min="6162" max="6162" width="8.85546875" style="160" customWidth="1"/>
    <col min="6163" max="6163" width="37.5703125" style="160" customWidth="1"/>
    <col min="6164" max="6164" width="10.5703125" style="160" customWidth="1"/>
    <col min="6165" max="6165" width="14" style="160" customWidth="1"/>
    <col min="6166" max="6166" width="15.85546875" style="160" bestFit="1" customWidth="1"/>
    <col min="6167" max="6167" width="10.85546875" style="160" bestFit="1" customWidth="1"/>
    <col min="6168" max="6168" width="12.140625" style="160" customWidth="1"/>
    <col min="6169" max="6169" width="11.85546875" style="160" customWidth="1"/>
    <col min="6170" max="6170" width="10.85546875" style="160" bestFit="1" customWidth="1"/>
    <col min="6171" max="6171" width="9.140625" style="160"/>
    <col min="6172" max="6172" width="12.7109375" style="160" customWidth="1"/>
    <col min="6173" max="6173" width="11.7109375" style="160" customWidth="1"/>
    <col min="6174" max="6174" width="12" style="160" customWidth="1"/>
    <col min="6175" max="6175" width="11.85546875" style="160" customWidth="1"/>
    <col min="6176" max="6177" width="13.28515625" style="160" customWidth="1"/>
    <col min="6178" max="6417" width="9.140625" style="160"/>
    <col min="6418" max="6418" width="8.85546875" style="160" customWidth="1"/>
    <col min="6419" max="6419" width="37.5703125" style="160" customWidth="1"/>
    <col min="6420" max="6420" width="10.5703125" style="160" customWidth="1"/>
    <col min="6421" max="6421" width="14" style="160" customWidth="1"/>
    <col min="6422" max="6422" width="15.85546875" style="160" bestFit="1" customWidth="1"/>
    <col min="6423" max="6423" width="10.85546875" style="160" bestFit="1" customWidth="1"/>
    <col min="6424" max="6424" width="12.140625" style="160" customWidth="1"/>
    <col min="6425" max="6425" width="11.85546875" style="160" customWidth="1"/>
    <col min="6426" max="6426" width="10.85546875" style="160" bestFit="1" customWidth="1"/>
    <col min="6427" max="6427" width="9.140625" style="160"/>
    <col min="6428" max="6428" width="12.7109375" style="160" customWidth="1"/>
    <col min="6429" max="6429" width="11.7109375" style="160" customWidth="1"/>
    <col min="6430" max="6430" width="12" style="160" customWidth="1"/>
    <col min="6431" max="6431" width="11.85546875" style="160" customWidth="1"/>
    <col min="6432" max="6433" width="13.28515625" style="160" customWidth="1"/>
    <col min="6434" max="6673" width="9.140625" style="160"/>
    <col min="6674" max="6674" width="8.85546875" style="160" customWidth="1"/>
    <col min="6675" max="6675" width="37.5703125" style="160" customWidth="1"/>
    <col min="6676" max="6676" width="10.5703125" style="160" customWidth="1"/>
    <col min="6677" max="6677" width="14" style="160" customWidth="1"/>
    <col min="6678" max="6678" width="15.85546875" style="160" bestFit="1" customWidth="1"/>
    <col min="6679" max="6679" width="10.85546875" style="160" bestFit="1" customWidth="1"/>
    <col min="6680" max="6680" width="12.140625" style="160" customWidth="1"/>
    <col min="6681" max="6681" width="11.85546875" style="160" customWidth="1"/>
    <col min="6682" max="6682" width="10.85546875" style="160" bestFit="1" customWidth="1"/>
    <col min="6683" max="6683" width="9.140625" style="160"/>
    <col min="6684" max="6684" width="12.7109375" style="160" customWidth="1"/>
    <col min="6685" max="6685" width="11.7109375" style="160" customWidth="1"/>
    <col min="6686" max="6686" width="12" style="160" customWidth="1"/>
    <col min="6687" max="6687" width="11.85546875" style="160" customWidth="1"/>
    <col min="6688" max="6689" width="13.28515625" style="160" customWidth="1"/>
    <col min="6690" max="6929" width="9.140625" style="160"/>
    <col min="6930" max="6930" width="8.85546875" style="160" customWidth="1"/>
    <col min="6931" max="6931" width="37.5703125" style="160" customWidth="1"/>
    <col min="6932" max="6932" width="10.5703125" style="160" customWidth="1"/>
    <col min="6933" max="6933" width="14" style="160" customWidth="1"/>
    <col min="6934" max="6934" width="15.85546875" style="160" bestFit="1" customWidth="1"/>
    <col min="6935" max="6935" width="10.85546875" style="160" bestFit="1" customWidth="1"/>
    <col min="6936" max="6936" width="12.140625" style="160" customWidth="1"/>
    <col min="6937" max="6937" width="11.85546875" style="160" customWidth="1"/>
    <col min="6938" max="6938" width="10.85546875" style="160" bestFit="1" customWidth="1"/>
    <col min="6939" max="6939" width="9.140625" style="160"/>
    <col min="6940" max="6940" width="12.7109375" style="160" customWidth="1"/>
    <col min="6941" max="6941" width="11.7109375" style="160" customWidth="1"/>
    <col min="6942" max="6942" width="12" style="160" customWidth="1"/>
    <col min="6943" max="6943" width="11.85546875" style="160" customWidth="1"/>
    <col min="6944" max="6945" width="13.28515625" style="160" customWidth="1"/>
    <col min="6946" max="7185" width="9.140625" style="160"/>
    <col min="7186" max="7186" width="8.85546875" style="160" customWidth="1"/>
    <col min="7187" max="7187" width="37.5703125" style="160" customWidth="1"/>
    <col min="7188" max="7188" width="10.5703125" style="160" customWidth="1"/>
    <col min="7189" max="7189" width="14" style="160" customWidth="1"/>
    <col min="7190" max="7190" width="15.85546875" style="160" bestFit="1" customWidth="1"/>
    <col min="7191" max="7191" width="10.85546875" style="160" bestFit="1" customWidth="1"/>
    <col min="7192" max="7192" width="12.140625" style="160" customWidth="1"/>
    <col min="7193" max="7193" width="11.85546875" style="160" customWidth="1"/>
    <col min="7194" max="7194" width="10.85546875" style="160" bestFit="1" customWidth="1"/>
    <col min="7195" max="7195" width="9.140625" style="160"/>
    <col min="7196" max="7196" width="12.7109375" style="160" customWidth="1"/>
    <col min="7197" max="7197" width="11.7109375" style="160" customWidth="1"/>
    <col min="7198" max="7198" width="12" style="160" customWidth="1"/>
    <col min="7199" max="7199" width="11.85546875" style="160" customWidth="1"/>
    <col min="7200" max="7201" width="13.28515625" style="160" customWidth="1"/>
    <col min="7202" max="7441" width="9.140625" style="160"/>
    <col min="7442" max="7442" width="8.85546875" style="160" customWidth="1"/>
    <col min="7443" max="7443" width="37.5703125" style="160" customWidth="1"/>
    <col min="7444" max="7444" width="10.5703125" style="160" customWidth="1"/>
    <col min="7445" max="7445" width="14" style="160" customWidth="1"/>
    <col min="7446" max="7446" width="15.85546875" style="160" bestFit="1" customWidth="1"/>
    <col min="7447" max="7447" width="10.85546875" style="160" bestFit="1" customWidth="1"/>
    <col min="7448" max="7448" width="12.140625" style="160" customWidth="1"/>
    <col min="7449" max="7449" width="11.85546875" style="160" customWidth="1"/>
    <col min="7450" max="7450" width="10.85546875" style="160" bestFit="1" customWidth="1"/>
    <col min="7451" max="7451" width="9.140625" style="160"/>
    <col min="7452" max="7452" width="12.7109375" style="160" customWidth="1"/>
    <col min="7453" max="7453" width="11.7109375" style="160" customWidth="1"/>
    <col min="7454" max="7454" width="12" style="160" customWidth="1"/>
    <col min="7455" max="7455" width="11.85546875" style="160" customWidth="1"/>
    <col min="7456" max="7457" width="13.28515625" style="160" customWidth="1"/>
    <col min="7458" max="7697" width="9.140625" style="160"/>
    <col min="7698" max="7698" width="8.85546875" style="160" customWidth="1"/>
    <col min="7699" max="7699" width="37.5703125" style="160" customWidth="1"/>
    <col min="7700" max="7700" width="10.5703125" style="160" customWidth="1"/>
    <col min="7701" max="7701" width="14" style="160" customWidth="1"/>
    <col min="7702" max="7702" width="15.85546875" style="160" bestFit="1" customWidth="1"/>
    <col min="7703" max="7703" width="10.85546875" style="160" bestFit="1" customWidth="1"/>
    <col min="7704" max="7704" width="12.140625" style="160" customWidth="1"/>
    <col min="7705" max="7705" width="11.85546875" style="160" customWidth="1"/>
    <col min="7706" max="7706" width="10.85546875" style="160" bestFit="1" customWidth="1"/>
    <col min="7707" max="7707" width="9.140625" style="160"/>
    <col min="7708" max="7708" width="12.7109375" style="160" customWidth="1"/>
    <col min="7709" max="7709" width="11.7109375" style="160" customWidth="1"/>
    <col min="7710" max="7710" width="12" style="160" customWidth="1"/>
    <col min="7711" max="7711" width="11.85546875" style="160" customWidth="1"/>
    <col min="7712" max="7713" width="13.28515625" style="160" customWidth="1"/>
    <col min="7714" max="7953" width="9.140625" style="160"/>
    <col min="7954" max="7954" width="8.85546875" style="160" customWidth="1"/>
    <col min="7955" max="7955" width="37.5703125" style="160" customWidth="1"/>
    <col min="7956" max="7956" width="10.5703125" style="160" customWidth="1"/>
    <col min="7957" max="7957" width="14" style="160" customWidth="1"/>
    <col min="7958" max="7958" width="15.85546875" style="160" bestFit="1" customWidth="1"/>
    <col min="7959" max="7959" width="10.85546875" style="160" bestFit="1" customWidth="1"/>
    <col min="7960" max="7960" width="12.140625" style="160" customWidth="1"/>
    <col min="7961" max="7961" width="11.85546875" style="160" customWidth="1"/>
    <col min="7962" max="7962" width="10.85546875" style="160" bestFit="1" customWidth="1"/>
    <col min="7963" max="7963" width="9.140625" style="160"/>
    <col min="7964" max="7964" width="12.7109375" style="160" customWidth="1"/>
    <col min="7965" max="7965" width="11.7109375" style="160" customWidth="1"/>
    <col min="7966" max="7966" width="12" style="160" customWidth="1"/>
    <col min="7967" max="7967" width="11.85546875" style="160" customWidth="1"/>
    <col min="7968" max="7969" width="13.28515625" style="160" customWidth="1"/>
    <col min="7970" max="8209" width="9.140625" style="160"/>
    <col min="8210" max="8210" width="8.85546875" style="160" customWidth="1"/>
    <col min="8211" max="8211" width="37.5703125" style="160" customWidth="1"/>
    <col min="8212" max="8212" width="10.5703125" style="160" customWidth="1"/>
    <col min="8213" max="8213" width="14" style="160" customWidth="1"/>
    <col min="8214" max="8214" width="15.85546875" style="160" bestFit="1" customWidth="1"/>
    <col min="8215" max="8215" width="10.85546875" style="160" bestFit="1" customWidth="1"/>
    <col min="8216" max="8216" width="12.140625" style="160" customWidth="1"/>
    <col min="8217" max="8217" width="11.85546875" style="160" customWidth="1"/>
    <col min="8218" max="8218" width="10.85546875" style="160" bestFit="1" customWidth="1"/>
    <col min="8219" max="8219" width="9.140625" style="160"/>
    <col min="8220" max="8220" width="12.7109375" style="160" customWidth="1"/>
    <col min="8221" max="8221" width="11.7109375" style="160" customWidth="1"/>
    <col min="8222" max="8222" width="12" style="160" customWidth="1"/>
    <col min="8223" max="8223" width="11.85546875" style="160" customWidth="1"/>
    <col min="8224" max="8225" width="13.28515625" style="160" customWidth="1"/>
    <col min="8226" max="8465" width="9.140625" style="160"/>
    <col min="8466" max="8466" width="8.85546875" style="160" customWidth="1"/>
    <col min="8467" max="8467" width="37.5703125" style="160" customWidth="1"/>
    <col min="8468" max="8468" width="10.5703125" style="160" customWidth="1"/>
    <col min="8469" max="8469" width="14" style="160" customWidth="1"/>
    <col min="8470" max="8470" width="15.85546875" style="160" bestFit="1" customWidth="1"/>
    <col min="8471" max="8471" width="10.85546875" style="160" bestFit="1" customWidth="1"/>
    <col min="8472" max="8472" width="12.140625" style="160" customWidth="1"/>
    <col min="8473" max="8473" width="11.85546875" style="160" customWidth="1"/>
    <col min="8474" max="8474" width="10.85546875" style="160" bestFit="1" customWidth="1"/>
    <col min="8475" max="8475" width="9.140625" style="160"/>
    <col min="8476" max="8476" width="12.7109375" style="160" customWidth="1"/>
    <col min="8477" max="8477" width="11.7109375" style="160" customWidth="1"/>
    <col min="8478" max="8478" width="12" style="160" customWidth="1"/>
    <col min="8479" max="8479" width="11.85546875" style="160" customWidth="1"/>
    <col min="8480" max="8481" width="13.28515625" style="160" customWidth="1"/>
    <col min="8482" max="8721" width="9.140625" style="160"/>
    <col min="8722" max="8722" width="8.85546875" style="160" customWidth="1"/>
    <col min="8723" max="8723" width="37.5703125" style="160" customWidth="1"/>
    <col min="8724" max="8724" width="10.5703125" style="160" customWidth="1"/>
    <col min="8725" max="8725" width="14" style="160" customWidth="1"/>
    <col min="8726" max="8726" width="15.85546875" style="160" bestFit="1" customWidth="1"/>
    <col min="8727" max="8727" width="10.85546875" style="160" bestFit="1" customWidth="1"/>
    <col min="8728" max="8728" width="12.140625" style="160" customWidth="1"/>
    <col min="8729" max="8729" width="11.85546875" style="160" customWidth="1"/>
    <col min="8730" max="8730" width="10.85546875" style="160" bestFit="1" customWidth="1"/>
    <col min="8731" max="8731" width="9.140625" style="160"/>
    <col min="8732" max="8732" width="12.7109375" style="160" customWidth="1"/>
    <col min="8733" max="8733" width="11.7109375" style="160" customWidth="1"/>
    <col min="8734" max="8734" width="12" style="160" customWidth="1"/>
    <col min="8735" max="8735" width="11.85546875" style="160" customWidth="1"/>
    <col min="8736" max="8737" width="13.28515625" style="160" customWidth="1"/>
    <col min="8738" max="8977" width="9.140625" style="160"/>
    <col min="8978" max="8978" width="8.85546875" style="160" customWidth="1"/>
    <col min="8979" max="8979" width="37.5703125" style="160" customWidth="1"/>
    <col min="8980" max="8980" width="10.5703125" style="160" customWidth="1"/>
    <col min="8981" max="8981" width="14" style="160" customWidth="1"/>
    <col min="8982" max="8982" width="15.85546875" style="160" bestFit="1" customWidth="1"/>
    <col min="8983" max="8983" width="10.85546875" style="160" bestFit="1" customWidth="1"/>
    <col min="8984" max="8984" width="12.140625" style="160" customWidth="1"/>
    <col min="8985" max="8985" width="11.85546875" style="160" customWidth="1"/>
    <col min="8986" max="8986" width="10.85546875" style="160" bestFit="1" customWidth="1"/>
    <col min="8987" max="8987" width="9.140625" style="160"/>
    <col min="8988" max="8988" width="12.7109375" style="160" customWidth="1"/>
    <col min="8989" max="8989" width="11.7109375" style="160" customWidth="1"/>
    <col min="8990" max="8990" width="12" style="160" customWidth="1"/>
    <col min="8991" max="8991" width="11.85546875" style="160" customWidth="1"/>
    <col min="8992" max="8993" width="13.28515625" style="160" customWidth="1"/>
    <col min="8994" max="9233" width="9.140625" style="160"/>
    <col min="9234" max="9234" width="8.85546875" style="160" customWidth="1"/>
    <col min="9235" max="9235" width="37.5703125" style="160" customWidth="1"/>
    <col min="9236" max="9236" width="10.5703125" style="160" customWidth="1"/>
    <col min="9237" max="9237" width="14" style="160" customWidth="1"/>
    <col min="9238" max="9238" width="15.85546875" style="160" bestFit="1" customWidth="1"/>
    <col min="9239" max="9239" width="10.85546875" style="160" bestFit="1" customWidth="1"/>
    <col min="9240" max="9240" width="12.140625" style="160" customWidth="1"/>
    <col min="9241" max="9241" width="11.85546875" style="160" customWidth="1"/>
    <col min="9242" max="9242" width="10.85546875" style="160" bestFit="1" customWidth="1"/>
    <col min="9243" max="9243" width="9.140625" style="160"/>
    <col min="9244" max="9244" width="12.7109375" style="160" customWidth="1"/>
    <col min="9245" max="9245" width="11.7109375" style="160" customWidth="1"/>
    <col min="9246" max="9246" width="12" style="160" customWidth="1"/>
    <col min="9247" max="9247" width="11.85546875" style="160" customWidth="1"/>
    <col min="9248" max="9249" width="13.28515625" style="160" customWidth="1"/>
    <col min="9250" max="9489" width="9.140625" style="160"/>
    <col min="9490" max="9490" width="8.85546875" style="160" customWidth="1"/>
    <col min="9491" max="9491" width="37.5703125" style="160" customWidth="1"/>
    <col min="9492" max="9492" width="10.5703125" style="160" customWidth="1"/>
    <col min="9493" max="9493" width="14" style="160" customWidth="1"/>
    <col min="9494" max="9494" width="15.85546875" style="160" bestFit="1" customWidth="1"/>
    <col min="9495" max="9495" width="10.85546875" style="160" bestFit="1" customWidth="1"/>
    <col min="9496" max="9496" width="12.140625" style="160" customWidth="1"/>
    <col min="9497" max="9497" width="11.85546875" style="160" customWidth="1"/>
    <col min="9498" max="9498" width="10.85546875" style="160" bestFit="1" customWidth="1"/>
    <col min="9499" max="9499" width="9.140625" style="160"/>
    <col min="9500" max="9500" width="12.7109375" style="160" customWidth="1"/>
    <col min="9501" max="9501" width="11.7109375" style="160" customWidth="1"/>
    <col min="9502" max="9502" width="12" style="160" customWidth="1"/>
    <col min="9503" max="9503" width="11.85546875" style="160" customWidth="1"/>
    <col min="9504" max="9505" width="13.28515625" style="160" customWidth="1"/>
    <col min="9506" max="9745" width="9.140625" style="160"/>
    <col min="9746" max="9746" width="8.85546875" style="160" customWidth="1"/>
    <col min="9747" max="9747" width="37.5703125" style="160" customWidth="1"/>
    <col min="9748" max="9748" width="10.5703125" style="160" customWidth="1"/>
    <col min="9749" max="9749" width="14" style="160" customWidth="1"/>
    <col min="9750" max="9750" width="15.85546875" style="160" bestFit="1" customWidth="1"/>
    <col min="9751" max="9751" width="10.85546875" style="160" bestFit="1" customWidth="1"/>
    <col min="9752" max="9752" width="12.140625" style="160" customWidth="1"/>
    <col min="9753" max="9753" width="11.85546875" style="160" customWidth="1"/>
    <col min="9754" max="9754" width="10.85546875" style="160" bestFit="1" customWidth="1"/>
    <col min="9755" max="9755" width="9.140625" style="160"/>
    <col min="9756" max="9756" width="12.7109375" style="160" customWidth="1"/>
    <col min="9757" max="9757" width="11.7109375" style="160" customWidth="1"/>
    <col min="9758" max="9758" width="12" style="160" customWidth="1"/>
    <col min="9759" max="9759" width="11.85546875" style="160" customWidth="1"/>
    <col min="9760" max="9761" width="13.28515625" style="160" customWidth="1"/>
    <col min="9762" max="10001" width="9.140625" style="160"/>
    <col min="10002" max="10002" width="8.85546875" style="160" customWidth="1"/>
    <col min="10003" max="10003" width="37.5703125" style="160" customWidth="1"/>
    <col min="10004" max="10004" width="10.5703125" style="160" customWidth="1"/>
    <col min="10005" max="10005" width="14" style="160" customWidth="1"/>
    <col min="10006" max="10006" width="15.85546875" style="160" bestFit="1" customWidth="1"/>
    <col min="10007" max="10007" width="10.85546875" style="160" bestFit="1" customWidth="1"/>
    <col min="10008" max="10008" width="12.140625" style="160" customWidth="1"/>
    <col min="10009" max="10009" width="11.85546875" style="160" customWidth="1"/>
    <col min="10010" max="10010" width="10.85546875" style="160" bestFit="1" customWidth="1"/>
    <col min="10011" max="10011" width="9.140625" style="160"/>
    <col min="10012" max="10012" width="12.7109375" style="160" customWidth="1"/>
    <col min="10013" max="10013" width="11.7109375" style="160" customWidth="1"/>
    <col min="10014" max="10014" width="12" style="160" customWidth="1"/>
    <col min="10015" max="10015" width="11.85546875" style="160" customWidth="1"/>
    <col min="10016" max="10017" width="13.28515625" style="160" customWidth="1"/>
    <col min="10018" max="10257" width="9.140625" style="160"/>
    <col min="10258" max="10258" width="8.85546875" style="160" customWidth="1"/>
    <col min="10259" max="10259" width="37.5703125" style="160" customWidth="1"/>
    <col min="10260" max="10260" width="10.5703125" style="160" customWidth="1"/>
    <col min="10261" max="10261" width="14" style="160" customWidth="1"/>
    <col min="10262" max="10262" width="15.85546875" style="160" bestFit="1" customWidth="1"/>
    <col min="10263" max="10263" width="10.85546875" style="160" bestFit="1" customWidth="1"/>
    <col min="10264" max="10264" width="12.140625" style="160" customWidth="1"/>
    <col min="10265" max="10265" width="11.85546875" style="160" customWidth="1"/>
    <col min="10266" max="10266" width="10.85546875" style="160" bestFit="1" customWidth="1"/>
    <col min="10267" max="10267" width="9.140625" style="160"/>
    <col min="10268" max="10268" width="12.7109375" style="160" customWidth="1"/>
    <col min="10269" max="10269" width="11.7109375" style="160" customWidth="1"/>
    <col min="10270" max="10270" width="12" style="160" customWidth="1"/>
    <col min="10271" max="10271" width="11.85546875" style="160" customWidth="1"/>
    <col min="10272" max="10273" width="13.28515625" style="160" customWidth="1"/>
    <col min="10274" max="10513" width="9.140625" style="160"/>
    <col min="10514" max="10514" width="8.85546875" style="160" customWidth="1"/>
    <col min="10515" max="10515" width="37.5703125" style="160" customWidth="1"/>
    <col min="10516" max="10516" width="10.5703125" style="160" customWidth="1"/>
    <col min="10517" max="10517" width="14" style="160" customWidth="1"/>
    <col min="10518" max="10518" width="15.85546875" style="160" bestFit="1" customWidth="1"/>
    <col min="10519" max="10519" width="10.85546875" style="160" bestFit="1" customWidth="1"/>
    <col min="10520" max="10520" width="12.140625" style="160" customWidth="1"/>
    <col min="10521" max="10521" width="11.85546875" style="160" customWidth="1"/>
    <col min="10522" max="10522" width="10.85546875" style="160" bestFit="1" customWidth="1"/>
    <col min="10523" max="10523" width="9.140625" style="160"/>
    <col min="10524" max="10524" width="12.7109375" style="160" customWidth="1"/>
    <col min="10525" max="10525" width="11.7109375" style="160" customWidth="1"/>
    <col min="10526" max="10526" width="12" style="160" customWidth="1"/>
    <col min="10527" max="10527" width="11.85546875" style="160" customWidth="1"/>
    <col min="10528" max="10529" width="13.28515625" style="160" customWidth="1"/>
    <col min="10530" max="10769" width="9.140625" style="160"/>
    <col min="10770" max="10770" width="8.85546875" style="160" customWidth="1"/>
    <col min="10771" max="10771" width="37.5703125" style="160" customWidth="1"/>
    <col min="10772" max="10772" width="10.5703125" style="160" customWidth="1"/>
    <col min="10773" max="10773" width="14" style="160" customWidth="1"/>
    <col min="10774" max="10774" width="15.85546875" style="160" bestFit="1" customWidth="1"/>
    <col min="10775" max="10775" width="10.85546875" style="160" bestFit="1" customWidth="1"/>
    <col min="10776" max="10776" width="12.140625" style="160" customWidth="1"/>
    <col min="10777" max="10777" width="11.85546875" style="160" customWidth="1"/>
    <col min="10778" max="10778" width="10.85546875" style="160" bestFit="1" customWidth="1"/>
    <col min="10779" max="10779" width="9.140625" style="160"/>
    <col min="10780" max="10780" width="12.7109375" style="160" customWidth="1"/>
    <col min="10781" max="10781" width="11.7109375" style="160" customWidth="1"/>
    <col min="10782" max="10782" width="12" style="160" customWidth="1"/>
    <col min="10783" max="10783" width="11.85546875" style="160" customWidth="1"/>
    <col min="10784" max="10785" width="13.28515625" style="160" customWidth="1"/>
    <col min="10786" max="11025" width="9.140625" style="160"/>
    <col min="11026" max="11026" width="8.85546875" style="160" customWidth="1"/>
    <col min="11027" max="11027" width="37.5703125" style="160" customWidth="1"/>
    <col min="11028" max="11028" width="10.5703125" style="160" customWidth="1"/>
    <col min="11029" max="11029" width="14" style="160" customWidth="1"/>
    <col min="11030" max="11030" width="15.85546875" style="160" bestFit="1" customWidth="1"/>
    <col min="11031" max="11031" width="10.85546875" style="160" bestFit="1" customWidth="1"/>
    <col min="11032" max="11032" width="12.140625" style="160" customWidth="1"/>
    <col min="11033" max="11033" width="11.85546875" style="160" customWidth="1"/>
    <col min="11034" max="11034" width="10.85546875" style="160" bestFit="1" customWidth="1"/>
    <col min="11035" max="11035" width="9.140625" style="160"/>
    <col min="11036" max="11036" width="12.7109375" style="160" customWidth="1"/>
    <col min="11037" max="11037" width="11.7109375" style="160" customWidth="1"/>
    <col min="11038" max="11038" width="12" style="160" customWidth="1"/>
    <col min="11039" max="11039" width="11.85546875" style="160" customWidth="1"/>
    <col min="11040" max="11041" width="13.28515625" style="160" customWidth="1"/>
    <col min="11042" max="11281" width="9.140625" style="160"/>
    <col min="11282" max="11282" width="8.85546875" style="160" customWidth="1"/>
    <col min="11283" max="11283" width="37.5703125" style="160" customWidth="1"/>
    <col min="11284" max="11284" width="10.5703125" style="160" customWidth="1"/>
    <col min="11285" max="11285" width="14" style="160" customWidth="1"/>
    <col min="11286" max="11286" width="15.85546875" style="160" bestFit="1" customWidth="1"/>
    <col min="11287" max="11287" width="10.85546875" style="160" bestFit="1" customWidth="1"/>
    <col min="11288" max="11288" width="12.140625" style="160" customWidth="1"/>
    <col min="11289" max="11289" width="11.85546875" style="160" customWidth="1"/>
    <col min="11290" max="11290" width="10.85546875" style="160" bestFit="1" customWidth="1"/>
    <col min="11291" max="11291" width="9.140625" style="160"/>
    <col min="11292" max="11292" width="12.7109375" style="160" customWidth="1"/>
    <col min="11293" max="11293" width="11.7109375" style="160" customWidth="1"/>
    <col min="11294" max="11294" width="12" style="160" customWidth="1"/>
    <col min="11295" max="11295" width="11.85546875" style="160" customWidth="1"/>
    <col min="11296" max="11297" width="13.28515625" style="160" customWidth="1"/>
    <col min="11298" max="11537" width="9.140625" style="160"/>
    <col min="11538" max="11538" width="8.85546875" style="160" customWidth="1"/>
    <col min="11539" max="11539" width="37.5703125" style="160" customWidth="1"/>
    <col min="11540" max="11540" width="10.5703125" style="160" customWidth="1"/>
    <col min="11541" max="11541" width="14" style="160" customWidth="1"/>
    <col min="11542" max="11542" width="15.85546875" style="160" bestFit="1" customWidth="1"/>
    <col min="11543" max="11543" width="10.85546875" style="160" bestFit="1" customWidth="1"/>
    <col min="11544" max="11544" width="12.140625" style="160" customWidth="1"/>
    <col min="11545" max="11545" width="11.85546875" style="160" customWidth="1"/>
    <col min="11546" max="11546" width="10.85546875" style="160" bestFit="1" customWidth="1"/>
    <col min="11547" max="11547" width="9.140625" style="160"/>
    <col min="11548" max="11548" width="12.7109375" style="160" customWidth="1"/>
    <col min="11549" max="11549" width="11.7109375" style="160" customWidth="1"/>
    <col min="11550" max="11550" width="12" style="160" customWidth="1"/>
    <col min="11551" max="11551" width="11.85546875" style="160" customWidth="1"/>
    <col min="11552" max="11553" width="13.28515625" style="160" customWidth="1"/>
    <col min="11554" max="11793" width="9.140625" style="160"/>
    <col min="11794" max="11794" width="8.85546875" style="160" customWidth="1"/>
    <col min="11795" max="11795" width="37.5703125" style="160" customWidth="1"/>
    <col min="11796" max="11796" width="10.5703125" style="160" customWidth="1"/>
    <col min="11797" max="11797" width="14" style="160" customWidth="1"/>
    <col min="11798" max="11798" width="15.85546875" style="160" bestFit="1" customWidth="1"/>
    <col min="11799" max="11799" width="10.85546875" style="160" bestFit="1" customWidth="1"/>
    <col min="11800" max="11800" width="12.140625" style="160" customWidth="1"/>
    <col min="11801" max="11801" width="11.85546875" style="160" customWidth="1"/>
    <col min="11802" max="11802" width="10.85546875" style="160" bestFit="1" customWidth="1"/>
    <col min="11803" max="11803" width="9.140625" style="160"/>
    <col min="11804" max="11804" width="12.7109375" style="160" customWidth="1"/>
    <col min="11805" max="11805" width="11.7109375" style="160" customWidth="1"/>
    <col min="11806" max="11806" width="12" style="160" customWidth="1"/>
    <col min="11807" max="11807" width="11.85546875" style="160" customWidth="1"/>
    <col min="11808" max="11809" width="13.28515625" style="160" customWidth="1"/>
    <col min="11810" max="12049" width="9.140625" style="160"/>
    <col min="12050" max="12050" width="8.85546875" style="160" customWidth="1"/>
    <col min="12051" max="12051" width="37.5703125" style="160" customWidth="1"/>
    <col min="12052" max="12052" width="10.5703125" style="160" customWidth="1"/>
    <col min="12053" max="12053" width="14" style="160" customWidth="1"/>
    <col min="12054" max="12054" width="15.85546875" style="160" bestFit="1" customWidth="1"/>
    <col min="12055" max="12055" width="10.85546875" style="160" bestFit="1" customWidth="1"/>
    <col min="12056" max="12056" width="12.140625" style="160" customWidth="1"/>
    <col min="12057" max="12057" width="11.85546875" style="160" customWidth="1"/>
    <col min="12058" max="12058" width="10.85546875" style="160" bestFit="1" customWidth="1"/>
    <col min="12059" max="12059" width="9.140625" style="160"/>
    <col min="12060" max="12060" width="12.7109375" style="160" customWidth="1"/>
    <col min="12061" max="12061" width="11.7109375" style="160" customWidth="1"/>
    <col min="12062" max="12062" width="12" style="160" customWidth="1"/>
    <col min="12063" max="12063" width="11.85546875" style="160" customWidth="1"/>
    <col min="12064" max="12065" width="13.28515625" style="160" customWidth="1"/>
    <col min="12066" max="12305" width="9.140625" style="160"/>
    <col min="12306" max="12306" width="8.85546875" style="160" customWidth="1"/>
    <col min="12307" max="12307" width="37.5703125" style="160" customWidth="1"/>
    <col min="12308" max="12308" width="10.5703125" style="160" customWidth="1"/>
    <col min="12309" max="12309" width="14" style="160" customWidth="1"/>
    <col min="12310" max="12310" width="15.85546875" style="160" bestFit="1" customWidth="1"/>
    <col min="12311" max="12311" width="10.85546875" style="160" bestFit="1" customWidth="1"/>
    <col min="12312" max="12312" width="12.140625" style="160" customWidth="1"/>
    <col min="12313" max="12313" width="11.85546875" style="160" customWidth="1"/>
    <col min="12314" max="12314" width="10.85546875" style="160" bestFit="1" customWidth="1"/>
    <col min="12315" max="12315" width="9.140625" style="160"/>
    <col min="12316" max="12316" width="12.7109375" style="160" customWidth="1"/>
    <col min="12317" max="12317" width="11.7109375" style="160" customWidth="1"/>
    <col min="12318" max="12318" width="12" style="160" customWidth="1"/>
    <col min="12319" max="12319" width="11.85546875" style="160" customWidth="1"/>
    <col min="12320" max="12321" width="13.28515625" style="160" customWidth="1"/>
    <col min="12322" max="12561" width="9.140625" style="160"/>
    <col min="12562" max="12562" width="8.85546875" style="160" customWidth="1"/>
    <col min="12563" max="12563" width="37.5703125" style="160" customWidth="1"/>
    <col min="12564" max="12564" width="10.5703125" style="160" customWidth="1"/>
    <col min="12565" max="12565" width="14" style="160" customWidth="1"/>
    <col min="12566" max="12566" width="15.85546875" style="160" bestFit="1" customWidth="1"/>
    <col min="12567" max="12567" width="10.85546875" style="160" bestFit="1" customWidth="1"/>
    <col min="12568" max="12568" width="12.140625" style="160" customWidth="1"/>
    <col min="12569" max="12569" width="11.85546875" style="160" customWidth="1"/>
    <col min="12570" max="12570" width="10.85546875" style="160" bestFit="1" customWidth="1"/>
    <col min="12571" max="12571" width="9.140625" style="160"/>
    <col min="12572" max="12572" width="12.7109375" style="160" customWidth="1"/>
    <col min="12573" max="12573" width="11.7109375" style="160" customWidth="1"/>
    <col min="12574" max="12574" width="12" style="160" customWidth="1"/>
    <col min="12575" max="12575" width="11.85546875" style="160" customWidth="1"/>
    <col min="12576" max="12577" width="13.28515625" style="160" customWidth="1"/>
    <col min="12578" max="12817" width="9.140625" style="160"/>
    <col min="12818" max="12818" width="8.85546875" style="160" customWidth="1"/>
    <col min="12819" max="12819" width="37.5703125" style="160" customWidth="1"/>
    <col min="12820" max="12820" width="10.5703125" style="160" customWidth="1"/>
    <col min="12821" max="12821" width="14" style="160" customWidth="1"/>
    <col min="12822" max="12822" width="15.85546875" style="160" bestFit="1" customWidth="1"/>
    <col min="12823" max="12823" width="10.85546875" style="160" bestFit="1" customWidth="1"/>
    <col min="12824" max="12824" width="12.140625" style="160" customWidth="1"/>
    <col min="12825" max="12825" width="11.85546875" style="160" customWidth="1"/>
    <col min="12826" max="12826" width="10.85546875" style="160" bestFit="1" customWidth="1"/>
    <col min="12827" max="12827" width="9.140625" style="160"/>
    <col min="12828" max="12828" width="12.7109375" style="160" customWidth="1"/>
    <col min="12829" max="12829" width="11.7109375" style="160" customWidth="1"/>
    <col min="12830" max="12830" width="12" style="160" customWidth="1"/>
    <col min="12831" max="12831" width="11.85546875" style="160" customWidth="1"/>
    <col min="12832" max="12833" width="13.28515625" style="160" customWidth="1"/>
    <col min="12834" max="13073" width="9.140625" style="160"/>
    <col min="13074" max="13074" width="8.85546875" style="160" customWidth="1"/>
    <col min="13075" max="13075" width="37.5703125" style="160" customWidth="1"/>
    <col min="13076" max="13076" width="10.5703125" style="160" customWidth="1"/>
    <col min="13077" max="13077" width="14" style="160" customWidth="1"/>
    <col min="13078" max="13078" width="15.85546875" style="160" bestFit="1" customWidth="1"/>
    <col min="13079" max="13079" width="10.85546875" style="160" bestFit="1" customWidth="1"/>
    <col min="13080" max="13080" width="12.140625" style="160" customWidth="1"/>
    <col min="13081" max="13081" width="11.85546875" style="160" customWidth="1"/>
    <col min="13082" max="13082" width="10.85546875" style="160" bestFit="1" customWidth="1"/>
    <col min="13083" max="13083" width="9.140625" style="160"/>
    <col min="13084" max="13084" width="12.7109375" style="160" customWidth="1"/>
    <col min="13085" max="13085" width="11.7109375" style="160" customWidth="1"/>
    <col min="13086" max="13086" width="12" style="160" customWidth="1"/>
    <col min="13087" max="13087" width="11.85546875" style="160" customWidth="1"/>
    <col min="13088" max="13089" width="13.28515625" style="160" customWidth="1"/>
    <col min="13090" max="13329" width="9.140625" style="160"/>
    <col min="13330" max="13330" width="8.85546875" style="160" customWidth="1"/>
    <col min="13331" max="13331" width="37.5703125" style="160" customWidth="1"/>
    <col min="13332" max="13332" width="10.5703125" style="160" customWidth="1"/>
    <col min="13333" max="13333" width="14" style="160" customWidth="1"/>
    <col min="13334" max="13334" width="15.85546875" style="160" bestFit="1" customWidth="1"/>
    <col min="13335" max="13335" width="10.85546875" style="160" bestFit="1" customWidth="1"/>
    <col min="13336" max="13336" width="12.140625" style="160" customWidth="1"/>
    <col min="13337" max="13337" width="11.85546875" style="160" customWidth="1"/>
    <col min="13338" max="13338" width="10.85546875" style="160" bestFit="1" customWidth="1"/>
    <col min="13339" max="13339" width="9.140625" style="160"/>
    <col min="13340" max="13340" width="12.7109375" style="160" customWidth="1"/>
    <col min="13341" max="13341" width="11.7109375" style="160" customWidth="1"/>
    <col min="13342" max="13342" width="12" style="160" customWidth="1"/>
    <col min="13343" max="13343" width="11.85546875" style="160" customWidth="1"/>
    <col min="13344" max="13345" width="13.28515625" style="160" customWidth="1"/>
    <col min="13346" max="13585" width="9.140625" style="160"/>
    <col min="13586" max="13586" width="8.85546875" style="160" customWidth="1"/>
    <col min="13587" max="13587" width="37.5703125" style="160" customWidth="1"/>
    <col min="13588" max="13588" width="10.5703125" style="160" customWidth="1"/>
    <col min="13589" max="13589" width="14" style="160" customWidth="1"/>
    <col min="13590" max="13590" width="15.85546875" style="160" bestFit="1" customWidth="1"/>
    <col min="13591" max="13591" width="10.85546875" style="160" bestFit="1" customWidth="1"/>
    <col min="13592" max="13592" width="12.140625" style="160" customWidth="1"/>
    <col min="13593" max="13593" width="11.85546875" style="160" customWidth="1"/>
    <col min="13594" max="13594" width="10.85546875" style="160" bestFit="1" customWidth="1"/>
    <col min="13595" max="13595" width="9.140625" style="160"/>
    <col min="13596" max="13596" width="12.7109375" style="160" customWidth="1"/>
    <col min="13597" max="13597" width="11.7109375" style="160" customWidth="1"/>
    <col min="13598" max="13598" width="12" style="160" customWidth="1"/>
    <col min="13599" max="13599" width="11.85546875" style="160" customWidth="1"/>
    <col min="13600" max="13601" width="13.28515625" style="160" customWidth="1"/>
    <col min="13602" max="13841" width="9.140625" style="160"/>
    <col min="13842" max="13842" width="8.85546875" style="160" customWidth="1"/>
    <col min="13843" max="13843" width="37.5703125" style="160" customWidth="1"/>
    <col min="13844" max="13844" width="10.5703125" style="160" customWidth="1"/>
    <col min="13845" max="13845" width="14" style="160" customWidth="1"/>
    <col min="13846" max="13846" width="15.85546875" style="160" bestFit="1" customWidth="1"/>
    <col min="13847" max="13847" width="10.85546875" style="160" bestFit="1" customWidth="1"/>
    <col min="13848" max="13848" width="12.140625" style="160" customWidth="1"/>
    <col min="13849" max="13849" width="11.85546875" style="160" customWidth="1"/>
    <col min="13850" max="13850" width="10.85546875" style="160" bestFit="1" customWidth="1"/>
    <col min="13851" max="13851" width="9.140625" style="160"/>
    <col min="13852" max="13852" width="12.7109375" style="160" customWidth="1"/>
    <col min="13853" max="13853" width="11.7109375" style="160" customWidth="1"/>
    <col min="13854" max="13854" width="12" style="160" customWidth="1"/>
    <col min="13855" max="13855" width="11.85546875" style="160" customWidth="1"/>
    <col min="13856" max="13857" width="13.28515625" style="160" customWidth="1"/>
    <col min="13858" max="14097" width="9.140625" style="160"/>
    <col min="14098" max="14098" width="8.85546875" style="160" customWidth="1"/>
    <col min="14099" max="14099" width="37.5703125" style="160" customWidth="1"/>
    <col min="14100" max="14100" width="10.5703125" style="160" customWidth="1"/>
    <col min="14101" max="14101" width="14" style="160" customWidth="1"/>
    <col min="14102" max="14102" width="15.85546875" style="160" bestFit="1" customWidth="1"/>
    <col min="14103" max="14103" width="10.85546875" style="160" bestFit="1" customWidth="1"/>
    <col min="14104" max="14104" width="12.140625" style="160" customWidth="1"/>
    <col min="14105" max="14105" width="11.85546875" style="160" customWidth="1"/>
    <col min="14106" max="14106" width="10.85546875" style="160" bestFit="1" customWidth="1"/>
    <col min="14107" max="14107" width="9.140625" style="160"/>
    <col min="14108" max="14108" width="12.7109375" style="160" customWidth="1"/>
    <col min="14109" max="14109" width="11.7109375" style="160" customWidth="1"/>
    <col min="14110" max="14110" width="12" style="160" customWidth="1"/>
    <col min="14111" max="14111" width="11.85546875" style="160" customWidth="1"/>
    <col min="14112" max="14113" width="13.28515625" style="160" customWidth="1"/>
    <col min="14114" max="14353" width="9.140625" style="160"/>
    <col min="14354" max="14354" width="8.85546875" style="160" customWidth="1"/>
    <col min="14355" max="14355" width="37.5703125" style="160" customWidth="1"/>
    <col min="14356" max="14356" width="10.5703125" style="160" customWidth="1"/>
    <col min="14357" max="14357" width="14" style="160" customWidth="1"/>
    <col min="14358" max="14358" width="15.85546875" style="160" bestFit="1" customWidth="1"/>
    <col min="14359" max="14359" width="10.85546875" style="160" bestFit="1" customWidth="1"/>
    <col min="14360" max="14360" width="12.140625" style="160" customWidth="1"/>
    <col min="14361" max="14361" width="11.85546875" style="160" customWidth="1"/>
    <col min="14362" max="14362" width="10.85546875" style="160" bestFit="1" customWidth="1"/>
    <col min="14363" max="14363" width="9.140625" style="160"/>
    <col min="14364" max="14364" width="12.7109375" style="160" customWidth="1"/>
    <col min="14365" max="14365" width="11.7109375" style="160" customWidth="1"/>
    <col min="14366" max="14366" width="12" style="160" customWidth="1"/>
    <col min="14367" max="14367" width="11.85546875" style="160" customWidth="1"/>
    <col min="14368" max="14369" width="13.28515625" style="160" customWidth="1"/>
    <col min="14370" max="14609" width="9.140625" style="160"/>
    <col min="14610" max="14610" width="8.85546875" style="160" customWidth="1"/>
    <col min="14611" max="14611" width="37.5703125" style="160" customWidth="1"/>
    <col min="14612" max="14612" width="10.5703125" style="160" customWidth="1"/>
    <col min="14613" max="14613" width="14" style="160" customWidth="1"/>
    <col min="14614" max="14614" width="15.85546875" style="160" bestFit="1" customWidth="1"/>
    <col min="14615" max="14615" width="10.85546875" style="160" bestFit="1" customWidth="1"/>
    <col min="14616" max="14616" width="12.140625" style="160" customWidth="1"/>
    <col min="14617" max="14617" width="11.85546875" style="160" customWidth="1"/>
    <col min="14618" max="14618" width="10.85546875" style="160" bestFit="1" customWidth="1"/>
    <col min="14619" max="14619" width="9.140625" style="160"/>
    <col min="14620" max="14620" width="12.7109375" style="160" customWidth="1"/>
    <col min="14621" max="14621" width="11.7109375" style="160" customWidth="1"/>
    <col min="14622" max="14622" width="12" style="160" customWidth="1"/>
    <col min="14623" max="14623" width="11.85546875" style="160" customWidth="1"/>
    <col min="14624" max="14625" width="13.28515625" style="160" customWidth="1"/>
    <col min="14626" max="14865" width="9.140625" style="160"/>
    <col min="14866" max="14866" width="8.85546875" style="160" customWidth="1"/>
    <col min="14867" max="14867" width="37.5703125" style="160" customWidth="1"/>
    <col min="14868" max="14868" width="10.5703125" style="160" customWidth="1"/>
    <col min="14869" max="14869" width="14" style="160" customWidth="1"/>
    <col min="14870" max="14870" width="15.85546875" style="160" bestFit="1" customWidth="1"/>
    <col min="14871" max="14871" width="10.85546875" style="160" bestFit="1" customWidth="1"/>
    <col min="14872" max="14872" width="12.140625" style="160" customWidth="1"/>
    <col min="14873" max="14873" width="11.85546875" style="160" customWidth="1"/>
    <col min="14874" max="14874" width="10.85546875" style="160" bestFit="1" customWidth="1"/>
    <col min="14875" max="14875" width="9.140625" style="160"/>
    <col min="14876" max="14876" width="12.7109375" style="160" customWidth="1"/>
    <col min="14877" max="14877" width="11.7109375" style="160" customWidth="1"/>
    <col min="14878" max="14878" width="12" style="160" customWidth="1"/>
    <col min="14879" max="14879" width="11.85546875" style="160" customWidth="1"/>
    <col min="14880" max="14881" width="13.28515625" style="160" customWidth="1"/>
    <col min="14882" max="15121" width="9.140625" style="160"/>
    <col min="15122" max="15122" width="8.85546875" style="160" customWidth="1"/>
    <col min="15123" max="15123" width="37.5703125" style="160" customWidth="1"/>
    <col min="15124" max="15124" width="10.5703125" style="160" customWidth="1"/>
    <col min="15125" max="15125" width="14" style="160" customWidth="1"/>
    <col min="15126" max="15126" width="15.85546875" style="160" bestFit="1" customWidth="1"/>
    <col min="15127" max="15127" width="10.85546875" style="160" bestFit="1" customWidth="1"/>
    <col min="15128" max="15128" width="12.140625" style="160" customWidth="1"/>
    <col min="15129" max="15129" width="11.85546875" style="160" customWidth="1"/>
    <col min="15130" max="15130" width="10.85546875" style="160" bestFit="1" customWidth="1"/>
    <col min="15131" max="15131" width="9.140625" style="160"/>
    <col min="15132" max="15132" width="12.7109375" style="160" customWidth="1"/>
    <col min="15133" max="15133" width="11.7109375" style="160" customWidth="1"/>
    <col min="15134" max="15134" width="12" style="160" customWidth="1"/>
    <col min="15135" max="15135" width="11.85546875" style="160" customWidth="1"/>
    <col min="15136" max="15137" width="13.28515625" style="160" customWidth="1"/>
    <col min="15138" max="15377" width="9.140625" style="160"/>
    <col min="15378" max="15378" width="8.85546875" style="160" customWidth="1"/>
    <col min="15379" max="15379" width="37.5703125" style="160" customWidth="1"/>
    <col min="15380" max="15380" width="10.5703125" style="160" customWidth="1"/>
    <col min="15381" max="15381" width="14" style="160" customWidth="1"/>
    <col min="15382" max="15382" width="15.85546875" style="160" bestFit="1" customWidth="1"/>
    <col min="15383" max="15383" width="10.85546875" style="160" bestFit="1" customWidth="1"/>
    <col min="15384" max="15384" width="12.140625" style="160" customWidth="1"/>
    <col min="15385" max="15385" width="11.85546875" style="160" customWidth="1"/>
    <col min="15386" max="15386" width="10.85546875" style="160" bestFit="1" customWidth="1"/>
    <col min="15387" max="15387" width="9.140625" style="160"/>
    <col min="15388" max="15388" width="12.7109375" style="160" customWidth="1"/>
    <col min="15389" max="15389" width="11.7109375" style="160" customWidth="1"/>
    <col min="15390" max="15390" width="12" style="160" customWidth="1"/>
    <col min="15391" max="15391" width="11.85546875" style="160" customWidth="1"/>
    <col min="15392" max="15393" width="13.28515625" style="160" customWidth="1"/>
    <col min="15394" max="15633" width="9.140625" style="160"/>
    <col min="15634" max="15634" width="8.85546875" style="160" customWidth="1"/>
    <col min="15635" max="15635" width="37.5703125" style="160" customWidth="1"/>
    <col min="15636" max="15636" width="10.5703125" style="160" customWidth="1"/>
    <col min="15637" max="15637" width="14" style="160" customWidth="1"/>
    <col min="15638" max="15638" width="15.85546875" style="160" bestFit="1" customWidth="1"/>
    <col min="15639" max="15639" width="10.85546875" style="160" bestFit="1" customWidth="1"/>
    <col min="15640" max="15640" width="12.140625" style="160" customWidth="1"/>
    <col min="15641" max="15641" width="11.85546875" style="160" customWidth="1"/>
    <col min="15642" max="15642" width="10.85546875" style="160" bestFit="1" customWidth="1"/>
    <col min="15643" max="15643" width="9.140625" style="160"/>
    <col min="15644" max="15644" width="12.7109375" style="160" customWidth="1"/>
    <col min="15645" max="15645" width="11.7109375" style="160" customWidth="1"/>
    <col min="15646" max="15646" width="12" style="160" customWidth="1"/>
    <col min="15647" max="15647" width="11.85546875" style="160" customWidth="1"/>
    <col min="15648" max="15649" width="13.28515625" style="160" customWidth="1"/>
    <col min="15650" max="15889" width="9.140625" style="160"/>
    <col min="15890" max="15890" width="8.85546875" style="160" customWidth="1"/>
    <col min="15891" max="15891" width="37.5703125" style="160" customWidth="1"/>
    <col min="15892" max="15892" width="10.5703125" style="160" customWidth="1"/>
    <col min="15893" max="15893" width="14" style="160" customWidth="1"/>
    <col min="15894" max="15894" width="15.85546875" style="160" bestFit="1" customWidth="1"/>
    <col min="15895" max="15895" width="10.85546875" style="160" bestFit="1" customWidth="1"/>
    <col min="15896" max="15896" width="12.140625" style="160" customWidth="1"/>
    <col min="15897" max="15897" width="11.85546875" style="160" customWidth="1"/>
    <col min="15898" max="15898" width="10.85546875" style="160" bestFit="1" customWidth="1"/>
    <col min="15899" max="15899" width="9.140625" style="160"/>
    <col min="15900" max="15900" width="12.7109375" style="160" customWidth="1"/>
    <col min="15901" max="15901" width="11.7109375" style="160" customWidth="1"/>
    <col min="15902" max="15902" width="12" style="160" customWidth="1"/>
    <col min="15903" max="15903" width="11.85546875" style="160" customWidth="1"/>
    <col min="15904" max="15905" width="13.28515625" style="160" customWidth="1"/>
    <col min="15906" max="16145" width="9.140625" style="160"/>
    <col min="16146" max="16146" width="8.85546875" style="160" customWidth="1"/>
    <col min="16147" max="16147" width="37.5703125" style="160" customWidth="1"/>
    <col min="16148" max="16148" width="10.5703125" style="160" customWidth="1"/>
    <col min="16149" max="16149" width="14" style="160" customWidth="1"/>
    <col min="16150" max="16150" width="15.85546875" style="160" bestFit="1" customWidth="1"/>
    <col min="16151" max="16151" width="10.85546875" style="160" bestFit="1" customWidth="1"/>
    <col min="16152" max="16152" width="12.140625" style="160" customWidth="1"/>
    <col min="16153" max="16153" width="11.85546875" style="160" customWidth="1"/>
    <col min="16154" max="16154" width="10.85546875" style="160" bestFit="1" customWidth="1"/>
    <col min="16155" max="16155" width="9.140625" style="160"/>
    <col min="16156" max="16156" width="12.7109375" style="160" customWidth="1"/>
    <col min="16157" max="16157" width="11.7109375" style="160" customWidth="1"/>
    <col min="16158" max="16158" width="12" style="160" customWidth="1"/>
    <col min="16159" max="16159" width="11.85546875" style="160" customWidth="1"/>
    <col min="16160" max="16161" width="13.28515625" style="160" customWidth="1"/>
    <col min="16162" max="16384" width="9.140625" style="160"/>
  </cols>
  <sheetData>
    <row r="1" spans="1:34" ht="15.75" x14ac:dyDescent="0.25">
      <c r="A1" s="581" t="s">
        <v>368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272"/>
      <c r="R1" s="272"/>
      <c r="S1" s="272"/>
      <c r="T1" s="523"/>
      <c r="U1" s="510"/>
      <c r="V1" s="272"/>
      <c r="W1" s="523"/>
      <c r="X1" s="272"/>
      <c r="Y1" s="529"/>
      <c r="Z1" s="272"/>
      <c r="AA1" s="272"/>
      <c r="AB1" s="530"/>
      <c r="AC1" s="508"/>
      <c r="AD1" s="272"/>
      <c r="AE1" s="276"/>
      <c r="AF1" s="276"/>
      <c r="AG1" s="272"/>
    </row>
    <row r="2" spans="1:34" x14ac:dyDescent="0.25">
      <c r="I2" s="289"/>
      <c r="J2" s="289" t="s">
        <v>595</v>
      </c>
      <c r="K2" s="289"/>
      <c r="L2" s="289"/>
    </row>
    <row r="3" spans="1:34" ht="15" customHeight="1" x14ac:dyDescent="0.25">
      <c r="A3" s="582" t="s">
        <v>323</v>
      </c>
      <c r="B3" s="582" t="s">
        <v>0</v>
      </c>
      <c r="C3" s="583" t="s">
        <v>253</v>
      </c>
      <c r="D3" s="583" t="s">
        <v>369</v>
      </c>
      <c r="E3" s="583" t="s">
        <v>150</v>
      </c>
      <c r="F3" s="582" t="s">
        <v>370</v>
      </c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4" x14ac:dyDescent="0.25">
      <c r="A4" s="582"/>
      <c r="B4" s="582"/>
      <c r="C4" s="584"/>
      <c r="D4" s="584"/>
      <c r="E4" s="584"/>
      <c r="F4" s="582" t="s">
        <v>371</v>
      </c>
      <c r="G4" s="586" t="s">
        <v>372</v>
      </c>
      <c r="H4" s="587"/>
      <c r="I4" s="587"/>
      <c r="J4" s="587"/>
      <c r="K4" s="587"/>
      <c r="L4" s="587"/>
      <c r="M4" s="587"/>
      <c r="N4" s="587"/>
      <c r="O4" s="587"/>
      <c r="P4" s="58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4" x14ac:dyDescent="0.25">
      <c r="A5" s="582"/>
      <c r="B5" s="582"/>
      <c r="C5" s="584"/>
      <c r="D5" s="584"/>
      <c r="E5" s="584"/>
      <c r="F5" s="582"/>
      <c r="G5" s="582" t="s">
        <v>373</v>
      </c>
      <c r="H5" s="582" t="s">
        <v>374</v>
      </c>
      <c r="I5" s="589" t="s">
        <v>215</v>
      </c>
      <c r="J5" s="590"/>
      <c r="K5" s="582" t="s">
        <v>375</v>
      </c>
      <c r="L5" s="589" t="s">
        <v>215</v>
      </c>
      <c r="M5" s="590"/>
      <c r="N5" s="582" t="s">
        <v>376</v>
      </c>
      <c r="O5" s="582" t="s">
        <v>377</v>
      </c>
      <c r="P5" s="582" t="s">
        <v>378</v>
      </c>
      <c r="Q5" s="586" t="s">
        <v>376</v>
      </c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8"/>
    </row>
    <row r="6" spans="1:34" ht="80.25" customHeight="1" x14ac:dyDescent="0.25">
      <c r="A6" s="582"/>
      <c r="B6" s="582"/>
      <c r="C6" s="585"/>
      <c r="D6" s="585"/>
      <c r="E6" s="585"/>
      <c r="F6" s="582"/>
      <c r="G6" s="582"/>
      <c r="H6" s="582"/>
      <c r="I6" s="279" t="s">
        <v>379</v>
      </c>
      <c r="J6" s="273" t="s">
        <v>380</v>
      </c>
      <c r="K6" s="582"/>
      <c r="L6" s="279" t="s">
        <v>379</v>
      </c>
      <c r="M6" s="273" t="s">
        <v>380</v>
      </c>
      <c r="N6" s="582"/>
      <c r="O6" s="582"/>
      <c r="P6" s="582"/>
      <c r="Q6" s="273">
        <v>70190</v>
      </c>
      <c r="R6" s="273">
        <v>70200</v>
      </c>
      <c r="S6" s="273">
        <v>74500</v>
      </c>
      <c r="T6" s="524">
        <v>70130</v>
      </c>
      <c r="U6" s="509" t="s">
        <v>931</v>
      </c>
      <c r="V6" s="509">
        <v>25210</v>
      </c>
      <c r="W6" s="524" t="s">
        <v>957</v>
      </c>
      <c r="X6" s="273">
        <v>7029</v>
      </c>
      <c r="Y6" s="528">
        <v>7018</v>
      </c>
      <c r="Z6" s="273" t="s">
        <v>597</v>
      </c>
      <c r="AA6" s="273" t="s">
        <v>598</v>
      </c>
      <c r="AB6" s="531" t="s">
        <v>963</v>
      </c>
      <c r="AC6" s="507" t="s">
        <v>930</v>
      </c>
      <c r="AD6" s="273">
        <v>25097</v>
      </c>
      <c r="AE6" s="275">
        <v>74510</v>
      </c>
      <c r="AF6" s="275" t="s">
        <v>726</v>
      </c>
      <c r="AG6" s="273" t="s">
        <v>727</v>
      </c>
    </row>
    <row r="7" spans="1:34" s="281" customFormat="1" x14ac:dyDescent="0.25">
      <c r="A7" s="223" t="s">
        <v>381</v>
      </c>
      <c r="B7" s="224" t="s">
        <v>382</v>
      </c>
      <c r="C7" s="224"/>
      <c r="D7" s="223"/>
      <c r="E7" s="225"/>
      <c r="F7" s="228">
        <f>G7+N7+O7+P7</f>
        <v>124438804.49000001</v>
      </c>
      <c r="G7" s="228">
        <f>G9+G10+G11+G12+G13+G14</f>
        <v>104747333.99000001</v>
      </c>
      <c r="H7" s="228">
        <f t="shared" ref="H7" si="0">I7+J7</f>
        <v>447999.33999999997</v>
      </c>
      <c r="I7" s="228">
        <f>I9+I10+I13+I14+I11</f>
        <v>447999.33999999997</v>
      </c>
      <c r="J7" s="228"/>
      <c r="K7" s="228">
        <f t="shared" ref="K7" si="1">L7+M7</f>
        <v>104299334.65000001</v>
      </c>
      <c r="L7" s="228">
        <f>L9+L10+L11+L12+L13+L14</f>
        <v>104299334.65000001</v>
      </c>
      <c r="M7" s="228"/>
      <c r="N7" s="228">
        <f>N9+N10+N11+N12+N13+N14</f>
        <v>19691470.5</v>
      </c>
      <c r="O7" s="228">
        <f>O9+O10+O11+O12+O13+O14</f>
        <v>0</v>
      </c>
      <c r="P7" s="228">
        <f>P9+P10+P11+P12+P13+P14</f>
        <v>0</v>
      </c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80"/>
    </row>
    <row r="8" spans="1:34" x14ac:dyDescent="0.25">
      <c r="A8" s="219"/>
      <c r="B8" s="219" t="s">
        <v>372</v>
      </c>
      <c r="C8" s="219"/>
      <c r="D8" s="273"/>
      <c r="E8" s="218"/>
      <c r="F8" s="229"/>
      <c r="G8" s="229"/>
      <c r="H8" s="229"/>
      <c r="I8" s="282"/>
      <c r="J8" s="229"/>
      <c r="K8" s="229"/>
      <c r="L8" s="282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</row>
    <row r="9" spans="1:34" x14ac:dyDescent="0.25">
      <c r="A9" s="219"/>
      <c r="B9" s="219" t="s">
        <v>124</v>
      </c>
      <c r="C9" s="219"/>
      <c r="D9" s="273">
        <v>111</v>
      </c>
      <c r="E9" s="218">
        <v>211</v>
      </c>
      <c r="F9" s="229">
        <f t="shared" ref="F9:F13" si="2">G9+N9+O9+P9</f>
        <v>92966529.409999996</v>
      </c>
      <c r="G9" s="229">
        <f>'Расчеты ГЗ'!BW25</f>
        <v>80986387.340000004</v>
      </c>
      <c r="H9" s="229">
        <f t="shared" ref="H9:H14" si="3">I9+J9</f>
        <v>415752.47</v>
      </c>
      <c r="I9" s="282">
        <v>415752.47</v>
      </c>
      <c r="J9" s="229"/>
      <c r="K9" s="229">
        <f>L9+M9</f>
        <v>80570634.870000005</v>
      </c>
      <c r="L9" s="282">
        <f>G9-I9</f>
        <v>80570634.870000005</v>
      </c>
      <c r="M9" s="229"/>
      <c r="N9" s="229">
        <f>SUM(Q9:AE9)</f>
        <v>11980142.07</v>
      </c>
      <c r="O9" s="229"/>
      <c r="P9" s="229"/>
      <c r="Q9" s="229"/>
      <c r="R9" s="229"/>
      <c r="S9" s="229">
        <f>'Расчеты (Иные)'!BW17-S10</f>
        <v>5192741.57</v>
      </c>
      <c r="T9" s="229"/>
      <c r="U9" s="229"/>
      <c r="V9" s="229"/>
      <c r="W9" s="229">
        <f>58372+315.5</f>
        <v>58687.5</v>
      </c>
      <c r="X9" s="229"/>
      <c r="Y9" s="229"/>
      <c r="Z9" s="229"/>
      <c r="AA9" s="229">
        <f>'Расчеты (Иные)'!CJ163</f>
        <v>920095</v>
      </c>
      <c r="AB9" s="229">
        <v>666000</v>
      </c>
      <c r="AC9" s="229">
        <v>5142618</v>
      </c>
      <c r="AD9" s="229"/>
      <c r="AE9" s="229"/>
      <c r="AF9" s="229"/>
      <c r="AG9" s="229"/>
    </row>
    <row r="10" spans="1:34" ht="25.5" x14ac:dyDescent="0.25">
      <c r="A10" s="219"/>
      <c r="B10" s="219" t="s">
        <v>383</v>
      </c>
      <c r="C10" s="219"/>
      <c r="D10" s="273">
        <v>111</v>
      </c>
      <c r="E10" s="218">
        <v>266</v>
      </c>
      <c r="F10" s="229">
        <f t="shared" si="2"/>
        <v>424316.72000000003</v>
      </c>
      <c r="G10" s="229">
        <v>405759.14</v>
      </c>
      <c r="H10" s="229">
        <f t="shared" si="3"/>
        <v>32246.87</v>
      </c>
      <c r="I10" s="282">
        <v>32246.87</v>
      </c>
      <c r="J10" s="229"/>
      <c r="K10" s="229">
        <f t="shared" ref="K10:K14" si="4">L10+M10</f>
        <v>373512.27</v>
      </c>
      <c r="L10" s="282">
        <f>G10-I10</f>
        <v>373512.27</v>
      </c>
      <c r="M10" s="229"/>
      <c r="N10" s="229">
        <f>SUM(Q10:AE10)</f>
        <v>18557.580000000002</v>
      </c>
      <c r="O10" s="229"/>
      <c r="P10" s="229"/>
      <c r="Q10" s="229"/>
      <c r="R10" s="229"/>
      <c r="S10" s="229">
        <v>18557.580000000002</v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</row>
    <row r="11" spans="1:34" ht="25.5" x14ac:dyDescent="0.25">
      <c r="A11" s="219"/>
      <c r="B11" s="219" t="s">
        <v>386</v>
      </c>
      <c r="C11" s="219"/>
      <c r="D11" s="273">
        <v>112</v>
      </c>
      <c r="E11" s="218" t="s">
        <v>125</v>
      </c>
      <c r="F11" s="229">
        <f t="shared" si="2"/>
        <v>61403</v>
      </c>
      <c r="G11" s="229">
        <f>'Расчеты ГЗ'!CJ9</f>
        <v>61403</v>
      </c>
      <c r="H11" s="229">
        <f>I11+J11</f>
        <v>0</v>
      </c>
      <c r="I11" s="282"/>
      <c r="J11" s="229"/>
      <c r="K11" s="229">
        <f t="shared" si="4"/>
        <v>61403</v>
      </c>
      <c r="L11" s="282">
        <f>G11-I11</f>
        <v>61403</v>
      </c>
      <c r="M11" s="229"/>
      <c r="N11" s="229">
        <f>SUM(Q11:AE11)</f>
        <v>0</v>
      </c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</row>
    <row r="12" spans="1:34" x14ac:dyDescent="0.25">
      <c r="A12" s="219"/>
      <c r="B12" s="219" t="s">
        <v>387</v>
      </c>
      <c r="C12" s="219"/>
      <c r="D12" s="273">
        <v>112</v>
      </c>
      <c r="E12" s="218" t="s">
        <v>107</v>
      </c>
      <c r="F12" s="229">
        <f t="shared" si="2"/>
        <v>3402004.24</v>
      </c>
      <c r="G12" s="229"/>
      <c r="H12" s="229">
        <f>I12+J12</f>
        <v>0</v>
      </c>
      <c r="I12" s="282"/>
      <c r="J12" s="229"/>
      <c r="K12" s="229">
        <f t="shared" si="4"/>
        <v>0</v>
      </c>
      <c r="L12" s="282"/>
      <c r="M12" s="229"/>
      <c r="N12" s="229">
        <f>SUM(Q12:AE12)</f>
        <v>3402004.24</v>
      </c>
      <c r="O12" s="229"/>
      <c r="P12" s="229"/>
      <c r="Q12" s="229">
        <f>'Расчеты (Иные)'!CJ117-Q14</f>
        <v>3402004.24</v>
      </c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2">
        <v>7019</v>
      </c>
    </row>
    <row r="13" spans="1:34" x14ac:dyDescent="0.25">
      <c r="A13" s="219"/>
      <c r="B13" s="219" t="s">
        <v>388</v>
      </c>
      <c r="C13" s="219"/>
      <c r="D13" s="273">
        <v>112</v>
      </c>
      <c r="E13" s="218">
        <v>212.226</v>
      </c>
      <c r="F13" s="229">
        <f t="shared" si="2"/>
        <v>737987</v>
      </c>
      <c r="G13" s="229">
        <f>'Расчеты ГЗ'!CJ6+'Расчеты ГЗ'!CJ7+'Расчеты ГЗ'!CJ8+'Расчеты ГЗ'!CJ10</f>
        <v>148587</v>
      </c>
      <c r="H13" s="229">
        <f t="shared" si="3"/>
        <v>0</v>
      </c>
      <c r="I13" s="282"/>
      <c r="J13" s="229"/>
      <c r="K13" s="229">
        <f t="shared" si="4"/>
        <v>148587</v>
      </c>
      <c r="L13" s="282">
        <f>G13-I13</f>
        <v>148587</v>
      </c>
      <c r="M13" s="229"/>
      <c r="N13" s="229">
        <f>SUM(Q13:AE13)</f>
        <v>589400</v>
      </c>
      <c r="O13" s="229"/>
      <c r="P13" s="229"/>
      <c r="Q13" s="229"/>
      <c r="R13" s="229"/>
      <c r="S13" s="229"/>
      <c r="T13" s="229"/>
      <c r="U13" s="229"/>
      <c r="V13" s="229"/>
      <c r="W13" s="229"/>
      <c r="X13" s="229">
        <f>'Расчеты (Иные)'!CJ97</f>
        <v>490000</v>
      </c>
      <c r="Y13" s="229">
        <v>99400</v>
      </c>
      <c r="Z13" s="229"/>
      <c r="AA13" s="229"/>
      <c r="AB13" s="229"/>
      <c r="AC13" s="229"/>
      <c r="AD13" s="229"/>
      <c r="AE13" s="229"/>
      <c r="AF13" s="229"/>
      <c r="AG13" s="229"/>
    </row>
    <row r="14" spans="1:34" x14ac:dyDescent="0.25">
      <c r="A14" s="219"/>
      <c r="B14" s="219" t="s">
        <v>389</v>
      </c>
      <c r="C14" s="219"/>
      <c r="D14" s="273">
        <v>119</v>
      </c>
      <c r="E14" s="218">
        <v>213</v>
      </c>
      <c r="F14" s="229">
        <f>G14+N14+O14+P14</f>
        <v>26846564.120000001</v>
      </c>
      <c r="G14" s="229">
        <f>'Расчеты ГЗ'!CM37</f>
        <v>23145197.510000002</v>
      </c>
      <c r="H14" s="229">
        <f t="shared" si="3"/>
        <v>0</v>
      </c>
      <c r="I14" s="282"/>
      <c r="J14" s="229"/>
      <c r="K14" s="229">
        <f t="shared" si="4"/>
        <v>23145197.510000002</v>
      </c>
      <c r="L14" s="282">
        <f>G14-I14</f>
        <v>23145197.510000002</v>
      </c>
      <c r="M14" s="229"/>
      <c r="N14" s="229">
        <f>SUM(Q14:AE14)</f>
        <v>3701366.6100000003</v>
      </c>
      <c r="O14" s="229"/>
      <c r="P14" s="229"/>
      <c r="Q14" s="229">
        <v>98695.76</v>
      </c>
      <c r="R14" s="229"/>
      <c r="S14" s="229">
        <f>'Расчеты (Иные)'!CM29</f>
        <v>1556436.35</v>
      </c>
      <c r="T14" s="229"/>
      <c r="U14" s="229"/>
      <c r="V14" s="229"/>
      <c r="W14" s="229">
        <f>17628-315.5</f>
        <v>17312.5</v>
      </c>
      <c r="X14" s="229"/>
      <c r="Y14" s="229"/>
      <c r="Z14" s="229"/>
      <c r="AA14" s="229">
        <f>'Расчеты (Иные)'!CJ164</f>
        <v>274740</v>
      </c>
      <c r="AB14" s="229">
        <v>201100</v>
      </c>
      <c r="AC14" s="229">
        <v>1553082</v>
      </c>
      <c r="AD14" s="229"/>
      <c r="AE14" s="229"/>
      <c r="AF14" s="229"/>
      <c r="AG14" s="229"/>
    </row>
    <row r="15" spans="1:34" s="281" customFormat="1" x14ac:dyDescent="0.25">
      <c r="A15" s="226" t="s">
        <v>390</v>
      </c>
      <c r="B15" s="227" t="s">
        <v>391</v>
      </c>
      <c r="C15" s="227"/>
      <c r="D15" s="226">
        <v>244</v>
      </c>
      <c r="E15" s="225"/>
      <c r="F15" s="228">
        <f>F17+F19+F20+F26+F27+F33+F40+F39</f>
        <v>30326338.609999999</v>
      </c>
      <c r="G15" s="228">
        <f>G17+G19+G26+G27+G33+G39+G40+G20</f>
        <v>5459273.1299999999</v>
      </c>
      <c r="H15" s="228">
        <f t="shared" ref="H15:O15" si="5">H17+H19+H26+H27+H33+H39+H40+H20</f>
        <v>240954.87</v>
      </c>
      <c r="I15" s="228">
        <f t="shared" si="5"/>
        <v>240954.87</v>
      </c>
      <c r="J15" s="228">
        <f t="shared" si="5"/>
        <v>0</v>
      </c>
      <c r="K15" s="228">
        <f t="shared" si="5"/>
        <v>5218318.26</v>
      </c>
      <c r="L15" s="228">
        <f t="shared" si="5"/>
        <v>5218318.26</v>
      </c>
      <c r="M15" s="228">
        <f t="shared" si="5"/>
        <v>0</v>
      </c>
      <c r="N15" s="228">
        <f t="shared" si="5"/>
        <v>13570408.120000001</v>
      </c>
      <c r="O15" s="228">
        <f t="shared" si="5"/>
        <v>7987700.7600000007</v>
      </c>
      <c r="P15" s="228">
        <f>P17+P19+P26+P27+P33+P39+P40+P20</f>
        <v>3308956.6</v>
      </c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80"/>
    </row>
    <row r="16" spans="1:34" x14ac:dyDescent="0.25">
      <c r="A16" s="219"/>
      <c r="B16" s="219" t="s">
        <v>372</v>
      </c>
      <c r="C16" s="219"/>
      <c r="D16" s="273"/>
      <c r="E16" s="218"/>
      <c r="F16" s="229"/>
      <c r="G16" s="229"/>
      <c r="H16" s="229"/>
      <c r="I16" s="282"/>
      <c r="J16" s="229"/>
      <c r="K16" s="229"/>
      <c r="L16" s="282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</row>
    <row r="17" spans="1:34" x14ac:dyDescent="0.25">
      <c r="A17" s="219"/>
      <c r="B17" s="219" t="s">
        <v>392</v>
      </c>
      <c r="C17" s="219"/>
      <c r="D17" s="273"/>
      <c r="E17" s="218">
        <v>221</v>
      </c>
      <c r="F17" s="229">
        <f>G17+N17+O17+P17</f>
        <v>479853.69000000006</v>
      </c>
      <c r="G17" s="229">
        <f>'Расчеты ГЗ'!CL61</f>
        <v>479853.69000000006</v>
      </c>
      <c r="H17" s="229">
        <f>I17+J17</f>
        <v>73249.509999999995</v>
      </c>
      <c r="I17" s="282">
        <v>73249.509999999995</v>
      </c>
      <c r="J17" s="229"/>
      <c r="K17" s="229">
        <f>L17+M17</f>
        <v>406604.18000000005</v>
      </c>
      <c r="L17" s="282">
        <f>G17-I17</f>
        <v>406604.18000000005</v>
      </c>
      <c r="M17" s="229"/>
      <c r="N17" s="229">
        <f>SUM(Q17:AE17)</f>
        <v>0</v>
      </c>
      <c r="O17" s="512">
        <f>AF17+AG17</f>
        <v>0</v>
      </c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</row>
    <row r="18" spans="1:34" x14ac:dyDescent="0.25">
      <c r="A18" s="219"/>
      <c r="B18" s="219" t="s">
        <v>393</v>
      </c>
      <c r="C18" s="219"/>
      <c r="D18" s="273"/>
      <c r="E18" s="218"/>
      <c r="F18" s="229"/>
      <c r="G18" s="229"/>
      <c r="H18" s="229"/>
      <c r="I18" s="282"/>
      <c r="J18" s="229"/>
      <c r="K18" s="229"/>
      <c r="L18" s="282"/>
      <c r="M18" s="229"/>
      <c r="N18" s="229">
        <f>SUM(Q18:AE18)</f>
        <v>0</v>
      </c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</row>
    <row r="19" spans="1:34" x14ac:dyDescent="0.25">
      <c r="A19" s="219"/>
      <c r="B19" s="219" t="s">
        <v>22</v>
      </c>
      <c r="C19" s="219"/>
      <c r="D19" s="273"/>
      <c r="E19" s="218">
        <v>222</v>
      </c>
      <c r="F19" s="229">
        <f>G19+N19+O19+P19</f>
        <v>33350</v>
      </c>
      <c r="G19" s="229">
        <f>'Расчеты ГЗ'!CJ68</f>
        <v>800</v>
      </c>
      <c r="H19" s="229">
        <f>I19+J19</f>
        <v>0</v>
      </c>
      <c r="I19" s="282"/>
      <c r="J19" s="229"/>
      <c r="K19" s="229">
        <f>L19+M19</f>
        <v>800</v>
      </c>
      <c r="L19" s="282">
        <f>G19-I19</f>
        <v>800</v>
      </c>
      <c r="M19" s="229"/>
      <c r="N19" s="229">
        <f>SUM(Q19:AE19)</f>
        <v>0</v>
      </c>
      <c r="O19" s="512">
        <f>AF19+AG19-25</f>
        <v>32525</v>
      </c>
      <c r="P19" s="229">
        <v>25</v>
      </c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>
        <v>32550</v>
      </c>
      <c r="AG19" s="229"/>
    </row>
    <row r="20" spans="1:34" x14ac:dyDescent="0.25">
      <c r="A20" s="219"/>
      <c r="B20" s="219" t="s">
        <v>394</v>
      </c>
      <c r="C20" s="219"/>
      <c r="D20" s="273"/>
      <c r="E20" s="218">
        <v>223</v>
      </c>
      <c r="F20" s="229">
        <f>G20+N20+O20+P20</f>
        <v>5716400</v>
      </c>
      <c r="G20" s="229"/>
      <c r="H20" s="229">
        <f>I20+J20</f>
        <v>0</v>
      </c>
      <c r="I20" s="282">
        <f>SUM(I22:I24)</f>
        <v>0</v>
      </c>
      <c r="J20" s="229"/>
      <c r="K20" s="229">
        <f>L20+M20</f>
        <v>0</v>
      </c>
      <c r="L20" s="282"/>
      <c r="M20" s="229"/>
      <c r="N20" s="229">
        <f>SUM(N22:N25)</f>
        <v>5716400</v>
      </c>
      <c r="O20" s="229">
        <f>SUM(O22:O24)</f>
        <v>0</v>
      </c>
      <c r="P20" s="229">
        <f>SUM(P22:P24)</f>
        <v>0</v>
      </c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2">
        <v>7020</v>
      </c>
    </row>
    <row r="21" spans="1:34" x14ac:dyDescent="0.25">
      <c r="A21" s="219"/>
      <c r="B21" s="219" t="s">
        <v>393</v>
      </c>
      <c r="C21" s="219"/>
      <c r="D21" s="273"/>
      <c r="E21" s="218"/>
      <c r="F21" s="229"/>
      <c r="G21" s="229"/>
      <c r="H21" s="229"/>
      <c r="I21" s="282"/>
      <c r="J21" s="229"/>
      <c r="K21" s="229"/>
      <c r="L21" s="282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</row>
    <row r="22" spans="1:34" x14ac:dyDescent="0.25">
      <c r="A22" s="219"/>
      <c r="B22" s="220" t="s">
        <v>395</v>
      </c>
      <c r="C22" s="219"/>
      <c r="D22" s="273"/>
      <c r="E22" s="218" t="s">
        <v>108</v>
      </c>
      <c r="F22" s="229">
        <f t="shared" ref="F22:F24" si="6">G22+N22+O22+P22</f>
        <v>3695741.94</v>
      </c>
      <c r="G22" s="229"/>
      <c r="H22" s="229"/>
      <c r="I22" s="282"/>
      <c r="J22" s="229"/>
      <c r="K22" s="229"/>
      <c r="L22" s="282"/>
      <c r="M22" s="229"/>
      <c r="N22" s="229">
        <f>SUM(Q22:AE22)</f>
        <v>3695741.94</v>
      </c>
      <c r="O22" s="512">
        <f t="shared" ref="O22:O25" si="7">AF22+AG22</f>
        <v>0</v>
      </c>
      <c r="P22" s="229"/>
      <c r="Q22" s="229"/>
      <c r="R22" s="229">
        <f>'Расчеты (Иные)'!CL134</f>
        <v>3695741.94</v>
      </c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</row>
    <row r="23" spans="1:34" x14ac:dyDescent="0.25">
      <c r="A23" s="219"/>
      <c r="B23" s="220" t="s">
        <v>396</v>
      </c>
      <c r="C23" s="219"/>
      <c r="D23" s="273"/>
      <c r="E23" s="218" t="s">
        <v>109</v>
      </c>
      <c r="F23" s="229">
        <f t="shared" si="6"/>
        <v>999797.94</v>
      </c>
      <c r="G23" s="229"/>
      <c r="H23" s="229"/>
      <c r="I23" s="282"/>
      <c r="J23" s="229"/>
      <c r="K23" s="229"/>
      <c r="L23" s="282"/>
      <c r="M23" s="229"/>
      <c r="N23" s="229">
        <f>SUM(Q23:AE23)</f>
        <v>999797.94</v>
      </c>
      <c r="O23" s="512">
        <f t="shared" si="7"/>
        <v>0</v>
      </c>
      <c r="P23" s="229"/>
      <c r="Q23" s="229"/>
      <c r="R23" s="229">
        <f>'Расчеты (Иные)'!CL135</f>
        <v>999797.94</v>
      </c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</row>
    <row r="24" spans="1:34" x14ac:dyDescent="0.25">
      <c r="A24" s="219"/>
      <c r="B24" s="220" t="s">
        <v>397</v>
      </c>
      <c r="C24" s="219"/>
      <c r="D24" s="273"/>
      <c r="E24" s="218" t="s">
        <v>110</v>
      </c>
      <c r="F24" s="229">
        <f t="shared" si="6"/>
        <v>573574.57999999996</v>
      </c>
      <c r="G24" s="229"/>
      <c r="H24" s="229"/>
      <c r="I24" s="282"/>
      <c r="J24" s="229"/>
      <c r="K24" s="229"/>
      <c r="L24" s="282"/>
      <c r="M24" s="229"/>
      <c r="N24" s="229">
        <f>SUM(Q24:AE24)</f>
        <v>573574.57999999996</v>
      </c>
      <c r="O24" s="512">
        <f t="shared" si="7"/>
        <v>0</v>
      </c>
      <c r="P24" s="229"/>
      <c r="Q24" s="229"/>
      <c r="R24" s="229">
        <f>'Расчеты (Иные)'!CL136</f>
        <v>573574.57999999996</v>
      </c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</row>
    <row r="25" spans="1:34" x14ac:dyDescent="0.25">
      <c r="A25" s="219"/>
      <c r="B25" s="220" t="s">
        <v>925</v>
      </c>
      <c r="C25" s="219"/>
      <c r="D25" s="499"/>
      <c r="E25" s="218" t="s">
        <v>926</v>
      </c>
      <c r="F25" s="229">
        <f t="shared" ref="F25" si="8">G25+N25+O25+P25</f>
        <v>447285.54</v>
      </c>
      <c r="G25" s="229"/>
      <c r="H25" s="229"/>
      <c r="I25" s="282"/>
      <c r="J25" s="229"/>
      <c r="K25" s="229"/>
      <c r="L25" s="282"/>
      <c r="M25" s="229"/>
      <c r="N25" s="229">
        <f>SUM(Q25:AE25)</f>
        <v>447285.54</v>
      </c>
      <c r="O25" s="512">
        <f t="shared" si="7"/>
        <v>0</v>
      </c>
      <c r="P25" s="229"/>
      <c r="Q25" s="229"/>
      <c r="R25" s="229">
        <f>'Расчеты (Иные)'!CL137</f>
        <v>447285.54</v>
      </c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</row>
    <row r="26" spans="1:34" x14ac:dyDescent="0.25">
      <c r="A26" s="219"/>
      <c r="B26" s="219" t="s">
        <v>398</v>
      </c>
      <c r="C26" s="219"/>
      <c r="D26" s="273"/>
      <c r="E26" s="218">
        <v>224</v>
      </c>
      <c r="F26" s="229">
        <f>G26+N26+O26+P26</f>
        <v>0</v>
      </c>
      <c r="G26" s="229"/>
      <c r="H26" s="229"/>
      <c r="I26" s="282"/>
      <c r="J26" s="229"/>
      <c r="K26" s="229"/>
      <c r="L26" s="282"/>
      <c r="M26" s="229"/>
      <c r="N26" s="229">
        <f>SUM(Q26:AE26)</f>
        <v>0</v>
      </c>
      <c r="O26" s="512">
        <f>AF26+AG26</f>
        <v>0</v>
      </c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</row>
    <row r="27" spans="1:34" x14ac:dyDescent="0.25">
      <c r="A27" s="219"/>
      <c r="B27" s="219" t="s">
        <v>399</v>
      </c>
      <c r="C27" s="219"/>
      <c r="D27" s="273"/>
      <c r="E27" s="218">
        <v>225</v>
      </c>
      <c r="F27" s="229">
        <f>G27+N27+O27+P27</f>
        <v>10706981.390000001</v>
      </c>
      <c r="G27" s="229">
        <f>G29+G30+G31+G32</f>
        <v>1727814.2999999998</v>
      </c>
      <c r="H27" s="229">
        <f>I27+J27</f>
        <v>44671</v>
      </c>
      <c r="I27" s="282">
        <f>SUM(I29:I31)</f>
        <v>44671</v>
      </c>
      <c r="J27" s="229"/>
      <c r="K27" s="229">
        <f>L27+M27</f>
        <v>1683143.2999999998</v>
      </c>
      <c r="L27" s="282">
        <f>SUM(L29:L32)</f>
        <v>1683143.2999999998</v>
      </c>
      <c r="M27" s="229"/>
      <c r="N27" s="229">
        <f>N29+N30+N31+N32</f>
        <v>4867907.12</v>
      </c>
      <c r="O27" s="229">
        <f>O29+O30+O31+O32</f>
        <v>802328.37</v>
      </c>
      <c r="P27" s="229">
        <f>P29+P30+P31+P32</f>
        <v>3308931.6</v>
      </c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1:34" x14ac:dyDescent="0.25">
      <c r="A28" s="219"/>
      <c r="B28" s="219" t="s">
        <v>393</v>
      </c>
      <c r="C28" s="219"/>
      <c r="D28" s="273"/>
      <c r="E28" s="218"/>
      <c r="F28" s="229"/>
      <c r="G28" s="229"/>
      <c r="H28" s="229"/>
      <c r="I28" s="282"/>
      <c r="J28" s="229"/>
      <c r="K28" s="229"/>
      <c r="L28" s="282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</row>
    <row r="29" spans="1:34" x14ac:dyDescent="0.25">
      <c r="A29" s="219"/>
      <c r="B29" s="220" t="s">
        <v>400</v>
      </c>
      <c r="C29" s="219"/>
      <c r="D29" s="273"/>
      <c r="E29" s="218" t="s">
        <v>148</v>
      </c>
      <c r="F29" s="229">
        <f t="shared" ref="F29:F33" si="9">G29+N29+O29+P29</f>
        <v>198490</v>
      </c>
      <c r="G29" s="229">
        <f>'Расчеты ГЗ'!CJ82</f>
        <v>121000</v>
      </c>
      <c r="H29" s="229">
        <f t="shared" ref="H29:H30" si="10">I29+J29</f>
        <v>0</v>
      </c>
      <c r="I29" s="282"/>
      <c r="J29" s="229"/>
      <c r="K29" s="229">
        <f t="shared" ref="K29:K33" si="11">L29+M29</f>
        <v>121000</v>
      </c>
      <c r="L29" s="282">
        <f>G29-I29</f>
        <v>121000</v>
      </c>
      <c r="M29" s="229"/>
      <c r="N29" s="229">
        <f>SUM(Q29:AE29)</f>
        <v>0</v>
      </c>
      <c r="O29" s="512">
        <f t="shared" ref="O29:O31" si="12">AF29+AG29</f>
        <v>77490</v>
      </c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>
        <v>77490</v>
      </c>
      <c r="AG29" s="229"/>
    </row>
    <row r="30" spans="1:34" x14ac:dyDescent="0.25">
      <c r="A30" s="219"/>
      <c r="B30" s="220" t="s">
        <v>401</v>
      </c>
      <c r="C30" s="219"/>
      <c r="D30" s="273"/>
      <c r="E30" s="218" t="s">
        <v>105</v>
      </c>
      <c r="F30" s="229">
        <f t="shared" si="9"/>
        <v>1900311.3199999998</v>
      </c>
      <c r="G30" s="229">
        <f>'Расчеты ГЗ'!CJ83+'Расчеты ГЗ'!CJ84+'Расчеты ГЗ'!CJ85</f>
        <v>1333226.42</v>
      </c>
      <c r="H30" s="229">
        <f t="shared" si="10"/>
        <v>44671</v>
      </c>
      <c r="I30" s="282">
        <v>44671</v>
      </c>
      <c r="J30" s="229"/>
      <c r="K30" s="229">
        <f t="shared" si="11"/>
        <v>1288555.42</v>
      </c>
      <c r="L30" s="282">
        <f>G30-I30</f>
        <v>1288555.42</v>
      </c>
      <c r="M30" s="229"/>
      <c r="N30" s="229">
        <f>SUM(Q30:AE30)</f>
        <v>0</v>
      </c>
      <c r="O30" s="512">
        <f t="shared" si="12"/>
        <v>567084.9</v>
      </c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>
        <v>567084.9</v>
      </c>
      <c r="AG30" s="229"/>
    </row>
    <row r="31" spans="1:34" x14ac:dyDescent="0.25">
      <c r="A31" s="219"/>
      <c r="B31" s="220" t="s">
        <v>402</v>
      </c>
      <c r="C31" s="219"/>
      <c r="D31" s="273"/>
      <c r="E31" s="218" t="s">
        <v>111</v>
      </c>
      <c r="F31" s="229">
        <f t="shared" si="9"/>
        <v>3466685.0700000003</v>
      </c>
      <c r="G31" s="229"/>
      <c r="H31" s="229"/>
      <c r="I31" s="282"/>
      <c r="J31" s="229"/>
      <c r="K31" s="229"/>
      <c r="L31" s="282"/>
      <c r="M31" s="229"/>
      <c r="N31" s="229">
        <f>SUM(Q31:AE31)</f>
        <v>0</v>
      </c>
      <c r="O31" s="512">
        <f t="shared" si="12"/>
        <v>157753.47</v>
      </c>
      <c r="P31" s="229">
        <v>3308931.6</v>
      </c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>
        <v>157753.47</v>
      </c>
      <c r="AG31" s="229"/>
    </row>
    <row r="32" spans="1:34" x14ac:dyDescent="0.25">
      <c r="A32" s="219"/>
      <c r="B32" s="221" t="s">
        <v>545</v>
      </c>
      <c r="C32" s="219"/>
      <c r="D32" s="273">
        <v>243</v>
      </c>
      <c r="E32" s="218" t="s">
        <v>111</v>
      </c>
      <c r="F32" s="229">
        <f t="shared" si="9"/>
        <v>5141495</v>
      </c>
      <c r="G32" s="229">
        <f t="shared" ref="G32" si="13">H32+K32</f>
        <v>273587.88</v>
      </c>
      <c r="H32" s="229">
        <f t="shared" ref="H32" si="14">I32+J32</f>
        <v>0</v>
      </c>
      <c r="I32" s="282"/>
      <c r="J32" s="229"/>
      <c r="K32" s="229">
        <f t="shared" ref="K32" si="15">L32+M32</f>
        <v>273587.88</v>
      </c>
      <c r="L32" s="282">
        <f>'Расчеты ГЗ'!CJ86</f>
        <v>273587.88</v>
      </c>
      <c r="M32" s="229"/>
      <c r="N32" s="229">
        <f>SUM(Q32:AE32)</f>
        <v>4867907.12</v>
      </c>
      <c r="O32" s="512"/>
      <c r="P32" s="229"/>
      <c r="Q32" s="229"/>
      <c r="R32" s="229"/>
      <c r="S32" s="229"/>
      <c r="T32" s="229">
        <v>2514707.12</v>
      </c>
      <c r="U32" s="229"/>
      <c r="V32" s="229"/>
      <c r="W32" s="229"/>
      <c r="X32" s="229"/>
      <c r="Y32" s="229"/>
      <c r="Z32" s="229"/>
      <c r="AA32" s="229"/>
      <c r="AB32" s="229"/>
      <c r="AC32" s="229"/>
      <c r="AD32" s="229">
        <v>2353200</v>
      </c>
      <c r="AE32" s="229"/>
      <c r="AF32" s="229"/>
      <c r="AG32" s="229"/>
    </row>
    <row r="33" spans="1:34" x14ac:dyDescent="0.25">
      <c r="A33" s="219"/>
      <c r="B33" s="219" t="s">
        <v>403</v>
      </c>
      <c r="C33" s="219"/>
      <c r="D33" s="273"/>
      <c r="E33" s="218">
        <v>226</v>
      </c>
      <c r="F33" s="229">
        <f t="shared" si="9"/>
        <v>10769785.630000001</v>
      </c>
      <c r="G33" s="229">
        <f>G36+G37+G38</f>
        <v>1728415.1400000001</v>
      </c>
      <c r="H33" s="229">
        <f>H36+H37+H38</f>
        <v>123034.36</v>
      </c>
      <c r="I33" s="282">
        <f>SUM(I36:I38)</f>
        <v>123034.36</v>
      </c>
      <c r="J33" s="229"/>
      <c r="K33" s="229">
        <f t="shared" si="11"/>
        <v>1605380.78</v>
      </c>
      <c r="L33" s="282">
        <f>L36+L37+L38</f>
        <v>1605380.78</v>
      </c>
      <c r="M33" s="229"/>
      <c r="N33" s="229">
        <f>N36+N37+N38</f>
        <v>2494080</v>
      </c>
      <c r="O33" s="229">
        <f>O36+O37+O38+O35</f>
        <v>6547290.4900000002</v>
      </c>
      <c r="P33" s="229">
        <f>P35+P36+P37+P38</f>
        <v>0</v>
      </c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</row>
    <row r="34" spans="1:34" x14ac:dyDescent="0.25">
      <c r="A34" s="219"/>
      <c r="B34" s="219" t="s">
        <v>393</v>
      </c>
      <c r="C34" s="219"/>
      <c r="D34" s="273"/>
      <c r="E34" s="218"/>
      <c r="F34" s="229"/>
      <c r="G34" s="229"/>
      <c r="H34" s="229"/>
      <c r="I34" s="282"/>
      <c r="J34" s="229"/>
      <c r="K34" s="229"/>
      <c r="L34" s="282"/>
      <c r="M34" s="229"/>
      <c r="N34" s="229"/>
      <c r="O34" s="512">
        <f t="shared" ref="O34" si="16">AF34</f>
        <v>0</v>
      </c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</row>
    <row r="35" spans="1:34" x14ac:dyDescent="0.25">
      <c r="A35" s="219"/>
      <c r="B35" s="513" t="s">
        <v>946</v>
      </c>
      <c r="C35" s="514"/>
      <c r="D35" s="515"/>
      <c r="E35" s="517" t="s">
        <v>947</v>
      </c>
      <c r="F35" s="516">
        <f>G35+N35+O35+P35</f>
        <v>5980748.75</v>
      </c>
      <c r="G35" s="516">
        <f>H35+K35</f>
        <v>0</v>
      </c>
      <c r="H35" s="516">
        <v>0</v>
      </c>
      <c r="I35" s="516"/>
      <c r="J35" s="516"/>
      <c r="K35" s="512">
        <f>L35+M35</f>
        <v>0</v>
      </c>
      <c r="L35" s="516">
        <v>0</v>
      </c>
      <c r="M35" s="516"/>
      <c r="N35" s="229">
        <f>SUM(Q35:AE35)</f>
        <v>0</v>
      </c>
      <c r="O35" s="512">
        <f t="shared" ref="O35:O38" si="17">AF35+AG35</f>
        <v>5980748.75</v>
      </c>
      <c r="P35" s="516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>
        <f>5841963.19+138785.56</f>
        <v>5980748.75</v>
      </c>
      <c r="AG35" s="229"/>
    </row>
    <row r="36" spans="1:34" x14ac:dyDescent="0.25">
      <c r="A36" s="219"/>
      <c r="B36" s="220" t="s">
        <v>883</v>
      </c>
      <c r="C36" s="219"/>
      <c r="D36" s="344"/>
      <c r="E36" s="218" t="s">
        <v>882</v>
      </c>
      <c r="F36" s="229">
        <f t="shared" ref="F36:F40" si="18">G36+N36+O36+P36</f>
        <v>0</v>
      </c>
      <c r="G36" s="229">
        <f>'Расчеты ГЗ'!CJ96</f>
        <v>0</v>
      </c>
      <c r="H36" s="229">
        <f t="shared" ref="H36:H40" si="19">I36+J36</f>
        <v>0</v>
      </c>
      <c r="I36" s="282"/>
      <c r="J36" s="229"/>
      <c r="K36" s="229">
        <f t="shared" ref="K36:K40" si="20">L36+M36</f>
        <v>0</v>
      </c>
      <c r="L36" s="282">
        <f>G36-I36</f>
        <v>0</v>
      </c>
      <c r="M36" s="229"/>
      <c r="N36" s="229">
        <f>SUM(Q36:AE36)</f>
        <v>0</v>
      </c>
      <c r="O36" s="512">
        <f t="shared" si="17"/>
        <v>0</v>
      </c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1:34" x14ac:dyDescent="0.25">
      <c r="A37" s="219"/>
      <c r="B37" s="220" t="s">
        <v>147</v>
      </c>
      <c r="C37" s="219"/>
      <c r="D37" s="273"/>
      <c r="E37" s="218" t="s">
        <v>106</v>
      </c>
      <c r="F37" s="229">
        <f t="shared" si="18"/>
        <v>4714884.88</v>
      </c>
      <c r="G37" s="229">
        <f>'Расчеты ГЗ'!CJ93+'Расчеты ГЗ'!CJ94+'Расчеты ГЗ'!CJ97</f>
        <v>1659263.1400000001</v>
      </c>
      <c r="H37" s="229">
        <f t="shared" si="19"/>
        <v>123034.36</v>
      </c>
      <c r="I37" s="282">
        <f>114185.36+8849</f>
        <v>123034.36</v>
      </c>
      <c r="J37" s="229"/>
      <c r="K37" s="229">
        <f t="shared" si="20"/>
        <v>1536228.78</v>
      </c>
      <c r="L37" s="282">
        <f>G37-I37</f>
        <v>1536228.78</v>
      </c>
      <c r="M37" s="229"/>
      <c r="N37" s="229">
        <f>SUM(Q37:AE37)</f>
        <v>2494080</v>
      </c>
      <c r="O37" s="512">
        <f t="shared" si="17"/>
        <v>561541.74</v>
      </c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>
        <f>'Расчеты (Иные)'!CJ165</f>
        <v>48580</v>
      </c>
      <c r="AB37" s="229"/>
      <c r="AC37" s="229"/>
      <c r="AD37" s="229"/>
      <c r="AE37" s="229">
        <f>'Расчеты (Иные)'!CL146</f>
        <v>2445500</v>
      </c>
      <c r="AF37" s="229">
        <v>561541.74</v>
      </c>
      <c r="AG37" s="229"/>
      <c r="AH37" s="222" t="s">
        <v>598</v>
      </c>
    </row>
    <row r="38" spans="1:34" x14ac:dyDescent="0.25">
      <c r="A38" s="219"/>
      <c r="B38" s="220" t="s">
        <v>404</v>
      </c>
      <c r="C38" s="219"/>
      <c r="D38" s="273"/>
      <c r="E38" s="218" t="s">
        <v>149</v>
      </c>
      <c r="F38" s="229">
        <f t="shared" si="18"/>
        <v>74152</v>
      </c>
      <c r="G38" s="229">
        <f>'Расчеты ГЗ'!CJ95</f>
        <v>69152</v>
      </c>
      <c r="H38" s="229">
        <f t="shared" si="19"/>
        <v>0</v>
      </c>
      <c r="I38" s="282"/>
      <c r="J38" s="229"/>
      <c r="K38" s="229">
        <f t="shared" si="20"/>
        <v>69152</v>
      </c>
      <c r="L38" s="282">
        <f>G38-I38</f>
        <v>69152</v>
      </c>
      <c r="M38" s="229"/>
      <c r="N38" s="229">
        <f>SUM(Q38:AE38)</f>
        <v>0</v>
      </c>
      <c r="O38" s="512">
        <f t="shared" si="17"/>
        <v>5000</v>
      </c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>
        <v>5000</v>
      </c>
      <c r="AG38" s="229"/>
    </row>
    <row r="39" spans="1:34" s="83" customFormat="1" ht="15" x14ac:dyDescent="0.25">
      <c r="A39" s="514"/>
      <c r="B39" s="518" t="s">
        <v>948</v>
      </c>
      <c r="C39" s="519"/>
      <c r="D39" s="520">
        <v>244</v>
      </c>
      <c r="E39" s="522">
        <v>227</v>
      </c>
      <c r="F39" s="512">
        <f>G39+N39+O39+P39</f>
        <v>38947.199999999997</v>
      </c>
      <c r="G39" s="512">
        <f>H39+K39</f>
        <v>0</v>
      </c>
      <c r="H39" s="512">
        <f>I39+J39</f>
        <v>0</v>
      </c>
      <c r="I39" s="512"/>
      <c r="J39" s="512"/>
      <c r="K39" s="512">
        <f>L39+M39</f>
        <v>0</v>
      </c>
      <c r="L39" s="512"/>
      <c r="M39" s="512"/>
      <c r="N39" s="229">
        <f>SUM(Q39:AE39)</f>
        <v>0</v>
      </c>
      <c r="O39" s="512">
        <f>AF39+AG39</f>
        <v>38947.199999999997</v>
      </c>
      <c r="P39" s="512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229">
        <v>38947.199999999997</v>
      </c>
      <c r="AG39" s="229"/>
    </row>
    <row r="40" spans="1:34" x14ac:dyDescent="0.25">
      <c r="A40" s="219"/>
      <c r="B40" s="221" t="s">
        <v>405</v>
      </c>
      <c r="C40" s="219"/>
      <c r="D40" s="273">
        <v>243</v>
      </c>
      <c r="E40" s="218">
        <v>228</v>
      </c>
      <c r="F40" s="229">
        <f t="shared" si="18"/>
        <v>2581020.7000000002</v>
      </c>
      <c r="G40" s="229">
        <v>1522390</v>
      </c>
      <c r="H40" s="229">
        <f t="shared" si="19"/>
        <v>0</v>
      </c>
      <c r="I40" s="282"/>
      <c r="J40" s="229"/>
      <c r="K40" s="229">
        <f t="shared" si="20"/>
        <v>1522390</v>
      </c>
      <c r="L40" s="282">
        <f>G40-I40</f>
        <v>1522390</v>
      </c>
      <c r="M40" s="229"/>
      <c r="N40" s="229">
        <f>T40</f>
        <v>492021</v>
      </c>
      <c r="O40" s="229">
        <f>AF40+AG40</f>
        <v>566609.69999999995</v>
      </c>
      <c r="P40" s="229"/>
      <c r="Q40" s="229"/>
      <c r="R40" s="229"/>
      <c r="S40" s="229"/>
      <c r="T40" s="229">
        <f>225690+266331</f>
        <v>492021</v>
      </c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>
        <v>566609.69999999995</v>
      </c>
      <c r="AG40" s="229"/>
    </row>
    <row r="41" spans="1:34" s="281" customFormat="1" x14ac:dyDescent="0.25">
      <c r="A41" s="226" t="s">
        <v>406</v>
      </c>
      <c r="B41" s="227" t="s">
        <v>407</v>
      </c>
      <c r="C41" s="227"/>
      <c r="D41" s="226"/>
      <c r="E41" s="225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80"/>
    </row>
    <row r="42" spans="1:34" x14ac:dyDescent="0.25">
      <c r="A42" s="219"/>
      <c r="B42" s="219" t="s">
        <v>272</v>
      </c>
      <c r="C42" s="219"/>
      <c r="D42" s="273"/>
      <c r="E42" s="218"/>
      <c r="F42" s="229"/>
      <c r="G42" s="229"/>
      <c r="H42" s="229"/>
      <c r="I42" s="282"/>
      <c r="J42" s="229"/>
      <c r="K42" s="229"/>
      <c r="L42" s="282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</row>
    <row r="43" spans="1:34" ht="25.5" x14ac:dyDescent="0.25">
      <c r="A43" s="219"/>
      <c r="B43" s="219" t="s">
        <v>408</v>
      </c>
      <c r="C43" s="219"/>
      <c r="D43" s="273"/>
      <c r="E43" s="218"/>
      <c r="F43" s="229"/>
      <c r="G43" s="229"/>
      <c r="H43" s="229"/>
      <c r="I43" s="282"/>
      <c r="J43" s="229"/>
      <c r="K43" s="229"/>
      <c r="L43" s="282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</row>
    <row r="44" spans="1:34" s="281" customFormat="1" x14ac:dyDescent="0.25">
      <c r="A44" s="226" t="s">
        <v>409</v>
      </c>
      <c r="B44" s="227" t="s">
        <v>410</v>
      </c>
      <c r="C44" s="227"/>
      <c r="D44" s="226">
        <v>321</v>
      </c>
      <c r="E44" s="225">
        <v>321</v>
      </c>
      <c r="F44" s="228">
        <f t="shared" ref="F44" si="21">G44+N44+O44+P44</f>
        <v>125600</v>
      </c>
      <c r="G44" s="228">
        <f t="shared" ref="G44" si="22">H44+K44</f>
        <v>0</v>
      </c>
      <c r="H44" s="228">
        <f t="shared" ref="H44" si="23">I44+J44</f>
        <v>0</v>
      </c>
      <c r="I44" s="228">
        <f>SUM(I47:I50)</f>
        <v>0</v>
      </c>
      <c r="J44" s="228"/>
      <c r="K44" s="228">
        <f t="shared" ref="K44" si="24">L44+M44</f>
        <v>0</v>
      </c>
      <c r="L44" s="228">
        <f>SUM(L47:L50)</f>
        <v>0</v>
      </c>
      <c r="M44" s="228"/>
      <c r="N44" s="228">
        <f>SUM(N47:N50)</f>
        <v>105600</v>
      </c>
      <c r="O44" s="228">
        <f>SUM(O47:O50)</f>
        <v>0</v>
      </c>
      <c r="P44" s="228">
        <f>SUM(P47:P50)</f>
        <v>20000</v>
      </c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80"/>
    </row>
    <row r="45" spans="1:34" x14ac:dyDescent="0.25">
      <c r="A45" s="219"/>
      <c r="B45" s="219" t="s">
        <v>272</v>
      </c>
      <c r="C45" s="219"/>
      <c r="D45" s="273"/>
      <c r="E45" s="218"/>
      <c r="F45" s="229"/>
      <c r="G45" s="229"/>
      <c r="H45" s="229"/>
      <c r="I45" s="282"/>
      <c r="J45" s="229"/>
      <c r="K45" s="229"/>
      <c r="L45" s="282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</row>
    <row r="46" spans="1:34" x14ac:dyDescent="0.25">
      <c r="A46" s="219"/>
      <c r="B46" s="219" t="s">
        <v>411</v>
      </c>
      <c r="C46" s="219"/>
      <c r="D46" s="273"/>
      <c r="E46" s="218"/>
      <c r="F46" s="229"/>
      <c r="G46" s="229"/>
      <c r="H46" s="229"/>
      <c r="I46" s="282"/>
      <c r="J46" s="229"/>
      <c r="K46" s="229"/>
      <c r="L46" s="282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</row>
    <row r="47" spans="1:34" x14ac:dyDescent="0.25">
      <c r="A47" s="219"/>
      <c r="B47" s="219" t="s">
        <v>412</v>
      </c>
      <c r="C47" s="219"/>
      <c r="D47" s="273"/>
      <c r="E47" s="218" t="s">
        <v>413</v>
      </c>
      <c r="F47" s="229">
        <f t="shared" ref="F47:F50" si="25">G47+N47+O47+P47</f>
        <v>0</v>
      </c>
      <c r="G47" s="229"/>
      <c r="H47" s="229">
        <f t="shared" ref="H47:H50" si="26">I47+J47</f>
        <v>0</v>
      </c>
      <c r="I47" s="282"/>
      <c r="J47" s="229"/>
      <c r="K47" s="229">
        <f t="shared" ref="K47:K50" si="27">L47+M47</f>
        <v>0</v>
      </c>
      <c r="L47" s="282"/>
      <c r="M47" s="229"/>
      <c r="N47" s="229">
        <f>SUM(Q47:AE47)</f>
        <v>0</v>
      </c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</row>
    <row r="48" spans="1:34" x14ac:dyDescent="0.25">
      <c r="A48" s="219"/>
      <c r="B48" s="219" t="s">
        <v>384</v>
      </c>
      <c r="C48" s="219"/>
      <c r="D48" s="273"/>
      <c r="E48" s="218" t="s">
        <v>385</v>
      </c>
      <c r="F48" s="229">
        <f>G48+N48+O48+P48</f>
        <v>0</v>
      </c>
      <c r="G48" s="229"/>
      <c r="H48" s="229">
        <f>I48+J48</f>
        <v>0</v>
      </c>
      <c r="I48" s="282"/>
      <c r="J48" s="229"/>
      <c r="K48" s="229">
        <f>L48+M48</f>
        <v>0</v>
      </c>
      <c r="L48" s="282"/>
      <c r="M48" s="229"/>
      <c r="N48" s="229">
        <f>SUM(Q48:AE48)</f>
        <v>0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</row>
    <row r="49" spans="1:34" x14ac:dyDescent="0.25">
      <c r="A49" s="219"/>
      <c r="B49" s="221" t="s">
        <v>414</v>
      </c>
      <c r="C49" s="219"/>
      <c r="D49" s="273">
        <v>360</v>
      </c>
      <c r="E49" s="218" t="s">
        <v>934</v>
      </c>
      <c r="F49" s="229">
        <f t="shared" si="25"/>
        <v>125600</v>
      </c>
      <c r="G49" s="229"/>
      <c r="H49" s="229">
        <f t="shared" si="26"/>
        <v>0</v>
      </c>
      <c r="I49" s="282"/>
      <c r="J49" s="229"/>
      <c r="K49" s="229">
        <f t="shared" si="27"/>
        <v>0</v>
      </c>
      <c r="L49" s="282"/>
      <c r="M49" s="229"/>
      <c r="N49" s="229">
        <f>SUM(Q49:AE49)</f>
        <v>105600</v>
      </c>
      <c r="O49" s="229">
        <v>0</v>
      </c>
      <c r="P49" s="229">
        <v>20000</v>
      </c>
      <c r="Q49" s="229"/>
      <c r="R49" s="229"/>
      <c r="S49" s="229"/>
      <c r="T49" s="229"/>
      <c r="U49" s="229"/>
      <c r="V49" s="229"/>
      <c r="W49" s="229"/>
      <c r="X49" s="229"/>
      <c r="Y49" s="229"/>
      <c r="Z49" s="229">
        <f>'Расчеты (Иные)'!CJ109</f>
        <v>105600</v>
      </c>
      <c r="AA49" s="229"/>
      <c r="AB49" s="229"/>
      <c r="AC49" s="229"/>
      <c r="AD49" s="229"/>
      <c r="AE49" s="229"/>
      <c r="AF49" s="229">
        <v>20000</v>
      </c>
      <c r="AG49" s="229"/>
      <c r="AH49" s="222" t="s">
        <v>597</v>
      </c>
    </row>
    <row r="50" spans="1:34" ht="38.25" x14ac:dyDescent="0.25">
      <c r="A50" s="219"/>
      <c r="B50" s="221" t="s">
        <v>415</v>
      </c>
      <c r="C50" s="219"/>
      <c r="D50" s="273"/>
      <c r="E50" s="218" t="s">
        <v>416</v>
      </c>
      <c r="F50" s="229">
        <f t="shared" si="25"/>
        <v>0</v>
      </c>
      <c r="G50" s="229"/>
      <c r="H50" s="229">
        <f t="shared" si="26"/>
        <v>0</v>
      </c>
      <c r="I50" s="282"/>
      <c r="J50" s="229"/>
      <c r="K50" s="229">
        <f t="shared" si="27"/>
        <v>0</v>
      </c>
      <c r="L50" s="282"/>
      <c r="M50" s="229"/>
      <c r="N50" s="229">
        <f>SUM(Q50:AE50)</f>
        <v>0</v>
      </c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2" t="s">
        <v>596</v>
      </c>
    </row>
    <row r="51" spans="1:34" ht="25.5" x14ac:dyDescent="0.25">
      <c r="A51" s="219"/>
      <c r="B51" s="219" t="s">
        <v>417</v>
      </c>
      <c r="C51" s="219"/>
      <c r="D51" s="273"/>
      <c r="E51" s="218"/>
      <c r="F51" s="229"/>
      <c r="G51" s="229"/>
      <c r="H51" s="229"/>
      <c r="I51" s="282"/>
      <c r="J51" s="229"/>
      <c r="K51" s="229"/>
      <c r="L51" s="282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</row>
    <row r="52" spans="1:34" s="281" customFormat="1" x14ac:dyDescent="0.25">
      <c r="A52" s="226" t="s">
        <v>418</v>
      </c>
      <c r="B52" s="227" t="s">
        <v>419</v>
      </c>
      <c r="C52" s="227"/>
      <c r="D52" s="226">
        <v>290</v>
      </c>
      <c r="E52" s="225">
        <v>290</v>
      </c>
      <c r="F52" s="228">
        <f t="shared" ref="F52" si="28">G52+N52+O52+P52</f>
        <v>511822.25</v>
      </c>
      <c r="G52" s="228">
        <f>G54+G55+G58+G59</f>
        <v>511822.25</v>
      </c>
      <c r="H52" s="228">
        <f t="shared" ref="H52" si="29">I52+J52</f>
        <v>0</v>
      </c>
      <c r="I52" s="228">
        <f>I54+I55+I58+I59</f>
        <v>0</v>
      </c>
      <c r="J52" s="228"/>
      <c r="K52" s="228">
        <f t="shared" ref="K52" si="30">L52+M52</f>
        <v>511822.25</v>
      </c>
      <c r="L52" s="228">
        <f>L54+L55+L58+L59</f>
        <v>511822.25</v>
      </c>
      <c r="M52" s="228"/>
      <c r="N52" s="228"/>
      <c r="O52" s="228">
        <f>O54+O55+O58+O59</f>
        <v>0</v>
      </c>
      <c r="P52" s="228">
        <f>P54+P55+P58+P59</f>
        <v>0</v>
      </c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80"/>
    </row>
    <row r="53" spans="1:34" x14ac:dyDescent="0.25">
      <c r="A53" s="219"/>
      <c r="B53" s="219" t="s">
        <v>272</v>
      </c>
      <c r="C53" s="219"/>
      <c r="D53" s="273"/>
      <c r="E53" s="218"/>
      <c r="F53" s="229"/>
      <c r="G53" s="229"/>
      <c r="H53" s="229"/>
      <c r="I53" s="282"/>
      <c r="J53" s="229"/>
      <c r="K53" s="229"/>
      <c r="L53" s="282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</row>
    <row r="54" spans="1:34" x14ac:dyDescent="0.25">
      <c r="A54" s="219"/>
      <c r="B54" s="220" t="s">
        <v>151</v>
      </c>
      <c r="C54" s="219"/>
      <c r="D54" s="273"/>
      <c r="E54" s="218" t="s">
        <v>420</v>
      </c>
      <c r="F54" s="229">
        <f t="shared" ref="F54:F55" si="31">G54+N54+O54+P54</f>
        <v>204125</v>
      </c>
      <c r="G54" s="229">
        <f>'Расчеты ГЗ'!CE45</f>
        <v>204125</v>
      </c>
      <c r="H54" s="229">
        <f t="shared" ref="H54:H55" si="32">I54+J54</f>
        <v>0</v>
      </c>
      <c r="I54" s="282"/>
      <c r="J54" s="229"/>
      <c r="K54" s="229">
        <f t="shared" ref="K54" si="33">L54+M54</f>
        <v>204125</v>
      </c>
      <c r="L54" s="282">
        <f>G54-I54</f>
        <v>204125</v>
      </c>
      <c r="M54" s="229"/>
      <c r="N54" s="229">
        <f>SUM(Q54:AE54)</f>
        <v>0</v>
      </c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</row>
    <row r="55" spans="1:34" x14ac:dyDescent="0.25">
      <c r="A55" s="219"/>
      <c r="B55" s="220" t="s">
        <v>152</v>
      </c>
      <c r="C55" s="219"/>
      <c r="D55" s="273"/>
      <c r="E55" s="218" t="s">
        <v>421</v>
      </c>
      <c r="F55" s="229">
        <f t="shared" si="31"/>
        <v>170844</v>
      </c>
      <c r="G55" s="229">
        <f>'Расчеты ГЗ'!CE46</f>
        <v>170844</v>
      </c>
      <c r="H55" s="229">
        <f t="shared" si="32"/>
        <v>0</v>
      </c>
      <c r="I55" s="282"/>
      <c r="J55" s="229"/>
      <c r="K55" s="229">
        <f>L55+M55</f>
        <v>170844</v>
      </c>
      <c r="L55" s="282">
        <f>G55-I55</f>
        <v>170844</v>
      </c>
      <c r="M55" s="229"/>
      <c r="N55" s="229">
        <f>SUM(Q55:AE55)</f>
        <v>0</v>
      </c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</row>
    <row r="56" spans="1:34" ht="25.5" x14ac:dyDescent="0.25">
      <c r="A56" s="219"/>
      <c r="B56" s="219" t="s">
        <v>422</v>
      </c>
      <c r="C56" s="219"/>
      <c r="D56" s="273"/>
      <c r="E56" s="218"/>
      <c r="F56" s="229"/>
      <c r="G56" s="229"/>
      <c r="H56" s="229"/>
      <c r="I56" s="282"/>
      <c r="J56" s="229"/>
      <c r="K56" s="229"/>
      <c r="L56" s="282"/>
      <c r="M56" s="229"/>
      <c r="N56" s="229">
        <f>SUM(Q56:AE56)</f>
        <v>0</v>
      </c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</row>
    <row r="57" spans="1:34" x14ac:dyDescent="0.25">
      <c r="A57" s="219"/>
      <c r="B57" s="219" t="s">
        <v>272</v>
      </c>
      <c r="C57" s="219"/>
      <c r="D57" s="273"/>
      <c r="E57" s="218"/>
      <c r="F57" s="229"/>
      <c r="G57" s="229"/>
      <c r="H57" s="229"/>
      <c r="I57" s="282"/>
      <c r="J57" s="229"/>
      <c r="K57" s="229"/>
      <c r="L57" s="282"/>
      <c r="M57" s="229"/>
      <c r="N57" s="229">
        <f>SUM(Q57:AE57)</f>
        <v>0</v>
      </c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</row>
    <row r="58" spans="1:34" x14ac:dyDescent="0.25">
      <c r="A58" s="219"/>
      <c r="B58" s="220" t="s">
        <v>423</v>
      </c>
      <c r="C58" s="219"/>
      <c r="D58" s="273"/>
      <c r="E58" s="218" t="s">
        <v>424</v>
      </c>
      <c r="F58" s="229">
        <f t="shared" ref="F58:F59" si="34">G58+N58+O58+P58</f>
        <v>136853.25</v>
      </c>
      <c r="G58" s="229">
        <f>'Расчеты ГЗ'!CE47</f>
        <v>136853.25</v>
      </c>
      <c r="H58" s="229">
        <f t="shared" ref="H58:H59" si="35">I58+J58</f>
        <v>0</v>
      </c>
      <c r="I58" s="282"/>
      <c r="J58" s="229"/>
      <c r="K58" s="229">
        <f t="shared" ref="K58:K59" si="36">L58+M58</f>
        <v>136853.25</v>
      </c>
      <c r="L58" s="282">
        <f>G58-I58</f>
        <v>136853.25</v>
      </c>
      <c r="M58" s="229"/>
      <c r="N58" s="229">
        <f>SUM(Q58:AE58)</f>
        <v>0</v>
      </c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</row>
    <row r="59" spans="1:34" x14ac:dyDescent="0.25">
      <c r="A59" s="219"/>
      <c r="B59" s="220" t="s">
        <v>425</v>
      </c>
      <c r="C59" s="219"/>
      <c r="D59" s="273"/>
      <c r="E59" s="218" t="s">
        <v>426</v>
      </c>
      <c r="F59" s="229">
        <f t="shared" si="34"/>
        <v>0</v>
      </c>
      <c r="G59" s="229">
        <f t="shared" ref="G59" si="37">H59+K59</f>
        <v>0</v>
      </c>
      <c r="H59" s="229">
        <f t="shared" si="35"/>
        <v>0</v>
      </c>
      <c r="I59" s="282"/>
      <c r="J59" s="229"/>
      <c r="K59" s="229">
        <f t="shared" si="36"/>
        <v>0</v>
      </c>
      <c r="L59" s="282"/>
      <c r="M59" s="229"/>
      <c r="N59" s="229">
        <f>SUM(Q59:AE59)</f>
        <v>0</v>
      </c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</row>
    <row r="60" spans="1:34" s="281" customFormat="1" x14ac:dyDescent="0.25">
      <c r="A60" s="226" t="s">
        <v>427</v>
      </c>
      <c r="B60" s="227" t="s">
        <v>428</v>
      </c>
      <c r="C60" s="227"/>
      <c r="D60" s="226">
        <v>244</v>
      </c>
      <c r="E60" s="225"/>
      <c r="F60" s="228">
        <f>F61+F67</f>
        <v>28787608.100000001</v>
      </c>
      <c r="G60" s="228">
        <f>G61+G67</f>
        <v>3556024.84</v>
      </c>
      <c r="H60" s="228">
        <f>H61+H67</f>
        <v>0</v>
      </c>
      <c r="I60" s="228">
        <f>I61+I67</f>
        <v>0</v>
      </c>
      <c r="J60" s="228"/>
      <c r="K60" s="228">
        <f>K61+K67</f>
        <v>3556024.84</v>
      </c>
      <c r="L60" s="228">
        <f>L61+L67</f>
        <v>3556024.84</v>
      </c>
      <c r="M60" s="228"/>
      <c r="N60" s="228">
        <f>N61+N67</f>
        <v>14556709.5</v>
      </c>
      <c r="O60" s="228">
        <f>O61+O67</f>
        <v>10630308.76</v>
      </c>
      <c r="P60" s="228">
        <f>P61+P67</f>
        <v>44565</v>
      </c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80"/>
    </row>
    <row r="61" spans="1:34" x14ac:dyDescent="0.25">
      <c r="A61" s="219"/>
      <c r="B61" s="219" t="s">
        <v>429</v>
      </c>
      <c r="C61" s="219"/>
      <c r="D61" s="273"/>
      <c r="E61" s="218">
        <v>310</v>
      </c>
      <c r="F61" s="229">
        <f t="shared" ref="F61" si="38">G61+N61+O61+P61</f>
        <v>4686279.6500000004</v>
      </c>
      <c r="G61" s="229">
        <f>G63+G64</f>
        <v>2281944.75</v>
      </c>
      <c r="H61" s="229">
        <f t="shared" ref="H61" si="39">I61+J61</f>
        <v>0</v>
      </c>
      <c r="I61" s="282">
        <f>SUM(I63:I64)</f>
        <v>0</v>
      </c>
      <c r="J61" s="229"/>
      <c r="K61" s="229">
        <f t="shared" ref="K61" si="40">L61+M61</f>
        <v>2281944.75</v>
      </c>
      <c r="L61" s="282">
        <f>SUM(L63:L64)</f>
        <v>2281944.75</v>
      </c>
      <c r="M61" s="229"/>
      <c r="N61" s="229">
        <f>SUM(N63:N64)</f>
        <v>1899560</v>
      </c>
      <c r="O61" s="229">
        <f>SUM(O63:O64)</f>
        <v>481274.9</v>
      </c>
      <c r="P61" s="229">
        <f>SUM(P63:P64)</f>
        <v>23500</v>
      </c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</row>
    <row r="62" spans="1:34" ht="25.5" customHeight="1" x14ac:dyDescent="0.25">
      <c r="A62" s="219"/>
      <c r="B62" s="219" t="s">
        <v>393</v>
      </c>
      <c r="C62" s="219"/>
      <c r="D62" s="273"/>
      <c r="E62" s="218"/>
      <c r="F62" s="229"/>
      <c r="G62" s="229"/>
      <c r="H62" s="229"/>
      <c r="I62" s="282"/>
      <c r="J62" s="229"/>
      <c r="K62" s="229"/>
      <c r="L62" s="282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</row>
    <row r="63" spans="1:34" ht="25.5" x14ac:dyDescent="0.25">
      <c r="A63" s="219"/>
      <c r="B63" s="220" t="s">
        <v>430</v>
      </c>
      <c r="C63" s="219"/>
      <c r="D63" s="273"/>
      <c r="E63" s="218" t="s">
        <v>113</v>
      </c>
      <c r="F63" s="229">
        <f t="shared" ref="F63" si="41">G63+N63+O63+P63</f>
        <v>1140980.55</v>
      </c>
      <c r="G63" s="229">
        <v>1140980.55</v>
      </c>
      <c r="H63" s="229">
        <f t="shared" ref="H63:H64" si="42">I63+J63</f>
        <v>0</v>
      </c>
      <c r="I63" s="282"/>
      <c r="J63" s="229"/>
      <c r="K63" s="229">
        <f t="shared" ref="K63:K64" si="43">L63+M63</f>
        <v>1140980.55</v>
      </c>
      <c r="L63" s="282">
        <f>G63-I63</f>
        <v>1140980.55</v>
      </c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</row>
    <row r="64" spans="1:34" x14ac:dyDescent="0.25">
      <c r="A64" s="219"/>
      <c r="B64" s="220" t="s">
        <v>431</v>
      </c>
      <c r="C64" s="219"/>
      <c r="D64" s="273"/>
      <c r="E64" s="218" t="s">
        <v>114</v>
      </c>
      <c r="F64" s="229">
        <f>G64+N64+O64+P64</f>
        <v>3545299.1</v>
      </c>
      <c r="G64" s="229">
        <v>1140964.2</v>
      </c>
      <c r="H64" s="229">
        <f t="shared" si="42"/>
        <v>0</v>
      </c>
      <c r="I64" s="282"/>
      <c r="J64" s="229"/>
      <c r="K64" s="229">
        <f t="shared" si="43"/>
        <v>1140964.2</v>
      </c>
      <c r="L64" s="282">
        <f>G64-I64</f>
        <v>1140964.2</v>
      </c>
      <c r="M64" s="229"/>
      <c r="N64" s="229">
        <f>SUM(Q64:AE64)</f>
        <v>1899560</v>
      </c>
      <c r="O64" s="512">
        <f>AF64+AG64</f>
        <v>481274.9</v>
      </c>
      <c r="P64" s="229">
        <v>23500</v>
      </c>
      <c r="Q64" s="229"/>
      <c r="R64" s="229"/>
      <c r="S64" s="229"/>
      <c r="T64" s="229"/>
      <c r="U64" s="229"/>
      <c r="V64" s="229">
        <v>1899560</v>
      </c>
      <c r="W64" s="229"/>
      <c r="X64" s="229"/>
      <c r="Y64" s="229"/>
      <c r="Z64" s="229"/>
      <c r="AA64" s="229"/>
      <c r="AB64" s="229"/>
      <c r="AC64" s="229"/>
      <c r="AD64" s="229"/>
      <c r="AE64" s="229"/>
      <c r="AF64" s="229">
        <v>481274.9</v>
      </c>
      <c r="AG64" s="229"/>
    </row>
    <row r="65" spans="1:34" x14ac:dyDescent="0.25">
      <c r="A65" s="219"/>
      <c r="B65" s="219" t="s">
        <v>432</v>
      </c>
      <c r="C65" s="219"/>
      <c r="D65" s="273"/>
      <c r="E65" s="218"/>
      <c r="F65" s="229"/>
      <c r="G65" s="229"/>
      <c r="H65" s="229"/>
      <c r="I65" s="282"/>
      <c r="J65" s="229"/>
      <c r="K65" s="229"/>
      <c r="L65" s="282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</row>
    <row r="66" spans="1:34" ht="25.5" x14ac:dyDescent="0.25">
      <c r="A66" s="219"/>
      <c r="B66" s="219" t="s">
        <v>433</v>
      </c>
      <c r="C66" s="219"/>
      <c r="D66" s="273"/>
      <c r="E66" s="218"/>
      <c r="F66" s="229"/>
      <c r="G66" s="229"/>
      <c r="H66" s="229"/>
      <c r="I66" s="282"/>
      <c r="J66" s="229"/>
      <c r="K66" s="229"/>
      <c r="L66" s="282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</row>
    <row r="67" spans="1:34" ht="25.5" x14ac:dyDescent="0.25">
      <c r="A67" s="219"/>
      <c r="B67" s="219" t="s">
        <v>434</v>
      </c>
      <c r="C67" s="219"/>
      <c r="D67" s="273"/>
      <c r="E67" s="218">
        <v>340</v>
      </c>
      <c r="F67" s="229">
        <f t="shared" ref="F67:F75" si="44">G67+N67+O67+P67</f>
        <v>24101328.449999999</v>
      </c>
      <c r="G67" s="229">
        <f>SUM(G69:G75)</f>
        <v>1274080.0899999999</v>
      </c>
      <c r="H67" s="229">
        <f t="shared" ref="H67" si="45">I67+J67</f>
        <v>0</v>
      </c>
      <c r="I67" s="282">
        <f>SUM(I69:I75)</f>
        <v>0</v>
      </c>
      <c r="J67" s="229"/>
      <c r="K67" s="229">
        <f t="shared" ref="K67:K75" si="46">L67+M67</f>
        <v>1274080.0899999999</v>
      </c>
      <c r="L67" s="282">
        <f>SUM(L69:L75)</f>
        <v>1274080.0899999999</v>
      </c>
      <c r="M67" s="229"/>
      <c r="N67" s="229">
        <f>SUM(N69:N75)</f>
        <v>12657149.5</v>
      </c>
      <c r="O67" s="229">
        <f>SUM(O69:O75)</f>
        <v>10149033.859999999</v>
      </c>
      <c r="P67" s="229">
        <f>SUM(P69:P75)</f>
        <v>21065</v>
      </c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</row>
    <row r="68" spans="1:34" x14ac:dyDescent="0.25">
      <c r="A68" s="219"/>
      <c r="B68" s="219" t="s">
        <v>272</v>
      </c>
      <c r="C68" s="219"/>
      <c r="D68" s="273"/>
      <c r="E68" s="218"/>
      <c r="F68" s="229"/>
      <c r="G68" s="229"/>
      <c r="H68" s="229"/>
      <c r="I68" s="282"/>
      <c r="J68" s="229"/>
      <c r="K68" s="229"/>
      <c r="L68" s="282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</row>
    <row r="69" spans="1:34" s="289" customFormat="1" x14ac:dyDescent="0.25">
      <c r="A69" s="283"/>
      <c r="B69" s="284" t="s">
        <v>435</v>
      </c>
      <c r="C69" s="283"/>
      <c r="D69" s="285"/>
      <c r="E69" s="286" t="s">
        <v>153</v>
      </c>
      <c r="F69" s="287">
        <f t="shared" si="44"/>
        <v>13884</v>
      </c>
      <c r="G69" s="287">
        <f>'Расчеты ГЗ'!CJ106</f>
        <v>13884</v>
      </c>
      <c r="H69" s="287">
        <f t="shared" ref="H69:H75" si="47">I69+J69</f>
        <v>0</v>
      </c>
      <c r="I69" s="282"/>
      <c r="J69" s="287"/>
      <c r="K69" s="287">
        <f t="shared" si="46"/>
        <v>13884</v>
      </c>
      <c r="L69" s="282">
        <f>G69-I69</f>
        <v>13884</v>
      </c>
      <c r="M69" s="287"/>
      <c r="N69" s="229">
        <f>SUM(Q69:AE69)</f>
        <v>0</v>
      </c>
      <c r="O69" s="512">
        <f t="shared" ref="O69:O75" si="48">AF69+AG69</f>
        <v>0</v>
      </c>
      <c r="P69" s="287"/>
      <c r="Q69" s="287"/>
      <c r="R69" s="287"/>
      <c r="S69" s="287">
        <f>'Расчеты (Иные)'!CJ35</f>
        <v>0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8"/>
    </row>
    <row r="70" spans="1:34" s="289" customFormat="1" x14ac:dyDescent="0.25">
      <c r="A70" s="283"/>
      <c r="B70" s="284" t="s">
        <v>436</v>
      </c>
      <c r="C70" s="283"/>
      <c r="D70" s="285"/>
      <c r="E70" s="286" t="s">
        <v>437</v>
      </c>
      <c r="F70" s="287">
        <f t="shared" si="44"/>
        <v>19007898.370000001</v>
      </c>
      <c r="G70" s="287">
        <f>'Расчеты ГЗ'!CJ107</f>
        <v>0</v>
      </c>
      <c r="H70" s="287">
        <f t="shared" si="47"/>
        <v>0</v>
      </c>
      <c r="I70" s="282"/>
      <c r="J70" s="287"/>
      <c r="K70" s="287">
        <f t="shared" si="46"/>
        <v>0</v>
      </c>
      <c r="L70" s="282">
        <f t="shared" ref="L70:L75" si="49">G70-I70</f>
        <v>0</v>
      </c>
      <c r="M70" s="287"/>
      <c r="N70" s="229">
        <f>SUM(Q70:AE70)</f>
        <v>12614205.5</v>
      </c>
      <c r="O70" s="512">
        <f t="shared" si="48"/>
        <v>6393692.8700000001</v>
      </c>
      <c r="P70" s="287">
        <v>0</v>
      </c>
      <c r="Q70" s="287"/>
      <c r="R70" s="287"/>
      <c r="S70" s="287">
        <f>'Расчеты (Иные)'!CJ37</f>
        <v>4799864.5</v>
      </c>
      <c r="T70" s="287"/>
      <c r="U70" s="287">
        <v>6562900</v>
      </c>
      <c r="V70" s="287"/>
      <c r="W70" s="287"/>
      <c r="X70" s="287"/>
      <c r="Y70" s="287"/>
      <c r="Z70" s="287"/>
      <c r="AA70" s="287">
        <f>'Расчеты (Иные)'!CJ167</f>
        <v>1251441</v>
      </c>
      <c r="AB70" s="287"/>
      <c r="AC70" s="287"/>
      <c r="AD70" s="287"/>
      <c r="AE70" s="287"/>
      <c r="AF70" s="287">
        <v>1955233.36</v>
      </c>
      <c r="AG70" s="287">
        <v>4438459.51</v>
      </c>
      <c r="AH70" s="288"/>
    </row>
    <row r="71" spans="1:34" s="289" customFormat="1" x14ac:dyDescent="0.25">
      <c r="A71" s="283"/>
      <c r="B71" s="284" t="s">
        <v>155</v>
      </c>
      <c r="C71" s="283"/>
      <c r="D71" s="285"/>
      <c r="E71" s="286" t="s">
        <v>154</v>
      </c>
      <c r="F71" s="287">
        <f t="shared" si="44"/>
        <v>2180659.1</v>
      </c>
      <c r="G71" s="287">
        <f>'Расчеты ГЗ'!CJ108</f>
        <v>6600</v>
      </c>
      <c r="H71" s="287">
        <f t="shared" si="47"/>
        <v>0</v>
      </c>
      <c r="I71" s="282"/>
      <c r="J71" s="287"/>
      <c r="K71" s="287">
        <f t="shared" si="46"/>
        <v>6600</v>
      </c>
      <c r="L71" s="282">
        <f t="shared" si="49"/>
        <v>6600</v>
      </c>
      <c r="M71" s="287"/>
      <c r="N71" s="229">
        <f>SUM(Q71:AE71)</f>
        <v>0</v>
      </c>
      <c r="O71" s="512">
        <f t="shared" si="48"/>
        <v>2174059.1</v>
      </c>
      <c r="P71" s="287"/>
      <c r="Q71" s="287"/>
      <c r="R71" s="287"/>
      <c r="S71" s="287">
        <f>'Расчеты (Иные)'!CJ38</f>
        <v>0</v>
      </c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>
        <v>2174059.1</v>
      </c>
      <c r="AG71" s="287"/>
      <c r="AH71" s="288"/>
    </row>
    <row r="72" spans="1:34" s="289" customFormat="1" x14ac:dyDescent="0.25">
      <c r="A72" s="283"/>
      <c r="B72" s="284" t="s">
        <v>438</v>
      </c>
      <c r="C72" s="283"/>
      <c r="D72" s="285"/>
      <c r="E72" s="286" t="s">
        <v>112</v>
      </c>
      <c r="F72" s="287">
        <f t="shared" si="44"/>
        <v>366377.01</v>
      </c>
      <c r="G72" s="287">
        <f>'Расчеты ГЗ'!CJ109</f>
        <v>56777.01</v>
      </c>
      <c r="H72" s="287">
        <f t="shared" si="47"/>
        <v>0</v>
      </c>
      <c r="I72" s="282"/>
      <c r="J72" s="287"/>
      <c r="K72" s="287">
        <f t="shared" si="46"/>
        <v>56777.01</v>
      </c>
      <c r="L72" s="282">
        <f t="shared" si="49"/>
        <v>56777.01</v>
      </c>
      <c r="M72" s="287"/>
      <c r="N72" s="229">
        <f>SUM(Q72:AE72)</f>
        <v>0</v>
      </c>
      <c r="O72" s="512">
        <f t="shared" si="48"/>
        <v>309600</v>
      </c>
      <c r="P72" s="287"/>
      <c r="Q72" s="287"/>
      <c r="R72" s="287"/>
      <c r="S72" s="287">
        <f>'Расчеты (Иные)'!CJ39</f>
        <v>0</v>
      </c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>
        <v>309600</v>
      </c>
      <c r="AG72" s="287"/>
      <c r="AH72" s="288"/>
    </row>
    <row r="73" spans="1:34" s="289" customFormat="1" x14ac:dyDescent="0.25">
      <c r="A73" s="283"/>
      <c r="B73" s="284" t="s">
        <v>439</v>
      </c>
      <c r="C73" s="283"/>
      <c r="D73" s="285"/>
      <c r="E73" s="286" t="s">
        <v>156</v>
      </c>
      <c r="F73" s="287">
        <f t="shared" si="44"/>
        <v>78463.02</v>
      </c>
      <c r="G73" s="287">
        <f>'Расчеты ГЗ'!CJ110</f>
        <v>71774.42</v>
      </c>
      <c r="H73" s="287">
        <f t="shared" si="47"/>
        <v>0</v>
      </c>
      <c r="I73" s="282"/>
      <c r="J73" s="287"/>
      <c r="K73" s="287">
        <f t="shared" si="46"/>
        <v>71774.42</v>
      </c>
      <c r="L73" s="282">
        <f t="shared" si="49"/>
        <v>71774.42</v>
      </c>
      <c r="M73" s="287"/>
      <c r="N73" s="229">
        <f>SUM(Q73:AE73)</f>
        <v>0</v>
      </c>
      <c r="O73" s="512">
        <f t="shared" si="48"/>
        <v>6688.6</v>
      </c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>
        <v>6688.6</v>
      </c>
      <c r="AG73" s="287"/>
      <c r="AH73" s="288"/>
    </row>
    <row r="74" spans="1:34" s="289" customFormat="1" x14ac:dyDescent="0.25">
      <c r="A74" s="283"/>
      <c r="B74" s="284" t="s">
        <v>440</v>
      </c>
      <c r="C74" s="283"/>
      <c r="D74" s="285"/>
      <c r="E74" s="286" t="s">
        <v>157</v>
      </c>
      <c r="F74" s="287">
        <f t="shared" si="44"/>
        <v>2226042.44</v>
      </c>
      <c r="G74" s="287">
        <f>'Расчеты ГЗ'!CJ111</f>
        <v>1005671.19</v>
      </c>
      <c r="H74" s="287">
        <f t="shared" si="47"/>
        <v>0</v>
      </c>
      <c r="I74" s="282"/>
      <c r="J74" s="287"/>
      <c r="K74" s="287">
        <f t="shared" si="46"/>
        <v>1005671.19</v>
      </c>
      <c r="L74" s="282">
        <f t="shared" si="49"/>
        <v>1005671.19</v>
      </c>
      <c r="M74" s="287"/>
      <c r="N74" s="229">
        <f>SUM(Q74:AE74)</f>
        <v>0</v>
      </c>
      <c r="O74" s="512">
        <f>AF74+AG74</f>
        <v>1199306.25</v>
      </c>
      <c r="P74" s="287">
        <v>21065</v>
      </c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>
        <f>1220371.25-21065</f>
        <v>1199306.25</v>
      </c>
      <c r="AG74" s="287"/>
      <c r="AH74" s="288"/>
    </row>
    <row r="75" spans="1:34" s="289" customFormat="1" ht="25.5" x14ac:dyDescent="0.25">
      <c r="A75" s="283"/>
      <c r="B75" s="284" t="s">
        <v>441</v>
      </c>
      <c r="C75" s="283"/>
      <c r="D75" s="285"/>
      <c r="E75" s="286" t="s">
        <v>158</v>
      </c>
      <c r="F75" s="287">
        <f t="shared" si="44"/>
        <v>228004.51</v>
      </c>
      <c r="G75" s="287">
        <f>'Расчеты ГЗ'!CJ112</f>
        <v>119373.47</v>
      </c>
      <c r="H75" s="287">
        <f t="shared" si="47"/>
        <v>0</v>
      </c>
      <c r="I75" s="282"/>
      <c r="J75" s="287"/>
      <c r="K75" s="287">
        <f t="shared" si="46"/>
        <v>119373.47</v>
      </c>
      <c r="L75" s="282">
        <f t="shared" si="49"/>
        <v>119373.47</v>
      </c>
      <c r="M75" s="287"/>
      <c r="N75" s="229">
        <f>SUM(Q75:AE75)</f>
        <v>42944</v>
      </c>
      <c r="O75" s="512">
        <f t="shared" si="48"/>
        <v>65687.039999999994</v>
      </c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>
        <f>'Расчеты (Иные)'!CJ166</f>
        <v>42944</v>
      </c>
      <c r="AB75" s="287"/>
      <c r="AC75" s="287"/>
      <c r="AD75" s="287"/>
      <c r="AE75" s="287"/>
      <c r="AF75" s="287">
        <v>65687.039999999994</v>
      </c>
      <c r="AG75" s="287"/>
      <c r="AH75" s="288"/>
    </row>
    <row r="76" spans="1:34" s="289" customFormat="1" x14ac:dyDescent="0.25">
      <c r="A76" s="283"/>
      <c r="B76" s="284"/>
      <c r="C76" s="283"/>
      <c r="D76" s="285"/>
      <c r="E76" s="286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8"/>
    </row>
    <row r="77" spans="1:34" s="281" customFormat="1" x14ac:dyDescent="0.25">
      <c r="A77" s="226" t="s">
        <v>442</v>
      </c>
      <c r="B77" s="227" t="s">
        <v>443</v>
      </c>
      <c r="C77" s="227"/>
      <c r="D77" s="226"/>
      <c r="E77" s="225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80"/>
    </row>
    <row r="78" spans="1:34" x14ac:dyDescent="0.25">
      <c r="A78" s="219"/>
      <c r="B78" s="219" t="s">
        <v>444</v>
      </c>
      <c r="C78" s="219"/>
      <c r="D78" s="273"/>
      <c r="E78" s="218"/>
      <c r="F78" s="229"/>
      <c r="G78" s="229"/>
      <c r="H78" s="229"/>
      <c r="I78" s="282"/>
      <c r="J78" s="229"/>
      <c r="K78" s="229"/>
      <c r="L78" s="282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</row>
    <row r="79" spans="1:34" ht="25.5" x14ac:dyDescent="0.25">
      <c r="A79" s="219"/>
      <c r="B79" s="219" t="s">
        <v>445</v>
      </c>
      <c r="C79" s="219"/>
      <c r="D79" s="273"/>
      <c r="E79" s="218"/>
      <c r="F79" s="229"/>
      <c r="G79" s="229"/>
      <c r="H79" s="229"/>
      <c r="I79" s="282"/>
      <c r="J79" s="229"/>
      <c r="K79" s="229"/>
      <c r="L79" s="282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</row>
    <row r="80" spans="1:34" ht="25.5" x14ac:dyDescent="0.25">
      <c r="A80" s="219"/>
      <c r="B80" s="219" t="s">
        <v>446</v>
      </c>
      <c r="C80" s="219"/>
      <c r="D80" s="273"/>
      <c r="E80" s="218"/>
      <c r="F80" s="229"/>
      <c r="G80" s="229"/>
      <c r="H80" s="229"/>
      <c r="I80" s="282"/>
      <c r="J80" s="229"/>
      <c r="K80" s="229"/>
      <c r="L80" s="282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</row>
    <row r="81" spans="1:34" s="281" customFormat="1" x14ac:dyDescent="0.25">
      <c r="A81" s="226" t="s">
        <v>447</v>
      </c>
      <c r="B81" s="227" t="s">
        <v>448</v>
      </c>
      <c r="C81" s="227"/>
      <c r="D81" s="226"/>
      <c r="E81" s="225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80"/>
    </row>
    <row r="82" spans="1:34" x14ac:dyDescent="0.25">
      <c r="A82" s="219"/>
      <c r="B82" s="219" t="s">
        <v>444</v>
      </c>
      <c r="C82" s="219"/>
      <c r="D82" s="273"/>
      <c r="E82" s="218"/>
      <c r="F82" s="229"/>
      <c r="G82" s="229"/>
      <c r="H82" s="229"/>
      <c r="I82" s="282"/>
      <c r="J82" s="229"/>
      <c r="K82" s="229"/>
      <c r="L82" s="282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</row>
    <row r="83" spans="1:34" x14ac:dyDescent="0.25">
      <c r="A83" s="219"/>
      <c r="B83" s="219" t="s">
        <v>449</v>
      </c>
      <c r="C83" s="219"/>
      <c r="D83" s="273"/>
      <c r="E83" s="218"/>
      <c r="F83" s="229"/>
      <c r="G83" s="229"/>
      <c r="H83" s="229"/>
      <c r="I83" s="282"/>
      <c r="J83" s="229"/>
      <c r="K83" s="229"/>
      <c r="L83" s="282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</row>
    <row r="84" spans="1:34" x14ac:dyDescent="0.25">
      <c r="A84" s="219"/>
      <c r="B84" s="219" t="s">
        <v>450</v>
      </c>
      <c r="C84" s="219"/>
      <c r="D84" s="273"/>
      <c r="E84" s="218"/>
      <c r="F84" s="229"/>
      <c r="G84" s="229"/>
      <c r="H84" s="229"/>
      <c r="I84" s="282"/>
      <c r="J84" s="229"/>
      <c r="K84" s="229"/>
      <c r="L84" s="282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</row>
    <row r="85" spans="1:34" x14ac:dyDescent="0.25">
      <c r="A85" s="219"/>
      <c r="B85" s="219" t="s">
        <v>451</v>
      </c>
      <c r="C85" s="219"/>
      <c r="D85" s="273"/>
      <c r="E85" s="218"/>
      <c r="F85" s="229"/>
      <c r="G85" s="229"/>
      <c r="H85" s="229"/>
      <c r="I85" s="282"/>
      <c r="J85" s="229"/>
      <c r="K85" s="229"/>
      <c r="L85" s="282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</row>
    <row r="86" spans="1:34" ht="25.5" x14ac:dyDescent="0.25">
      <c r="A86" s="219"/>
      <c r="B86" s="219" t="s">
        <v>452</v>
      </c>
      <c r="C86" s="219"/>
      <c r="D86" s="273"/>
      <c r="E86" s="218"/>
      <c r="F86" s="229"/>
      <c r="G86" s="229"/>
      <c r="H86" s="229"/>
      <c r="I86" s="282"/>
      <c r="J86" s="229"/>
      <c r="K86" s="229"/>
      <c r="L86" s="282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</row>
    <row r="87" spans="1:34" s="281" customFormat="1" x14ac:dyDescent="0.25">
      <c r="A87" s="226" t="s">
        <v>453</v>
      </c>
      <c r="B87" s="227" t="s">
        <v>454</v>
      </c>
      <c r="C87" s="227"/>
      <c r="D87" s="226"/>
      <c r="E87" s="225"/>
      <c r="F87" s="228">
        <f t="shared" ref="F87" si="50">G87+N87+O87+P87</f>
        <v>184190173.45000002</v>
      </c>
      <c r="G87" s="228">
        <f>G7+G15+G44+G52+G60</f>
        <v>114274454.21000001</v>
      </c>
      <c r="H87" s="228">
        <f>I87+J87</f>
        <v>688954.21</v>
      </c>
      <c r="I87" s="228">
        <f>I81+I77+I60+I52+I44+I41+I15+I7</f>
        <v>688954.21</v>
      </c>
      <c r="J87" s="228"/>
      <c r="K87" s="228">
        <f t="shared" ref="K87" si="51">L87+M87</f>
        <v>113585500.00000001</v>
      </c>
      <c r="L87" s="228">
        <f>L7+L15+L52+L60</f>
        <v>113585500.00000001</v>
      </c>
      <c r="M87" s="228"/>
      <c r="N87" s="228">
        <f>N7+N15+N44+N52+N60</f>
        <v>47924188.120000005</v>
      </c>
      <c r="O87" s="228">
        <f>O81+O77+O60+O52+O44+O41+O15+O7</f>
        <v>18618009.52</v>
      </c>
      <c r="P87" s="228">
        <f>P81+P77+P60+P52+P44+P41+P15+P7</f>
        <v>3373521.6</v>
      </c>
      <c r="Q87" s="290">
        <f>SUM(Q7:Q86)</f>
        <v>3500700</v>
      </c>
      <c r="R87" s="290">
        <f t="shared" ref="R87:AG87" si="52">SUM(R7:R86)</f>
        <v>5716400</v>
      </c>
      <c r="S87" s="290">
        <f>SUM(S7:S86)</f>
        <v>11567600</v>
      </c>
      <c r="T87" s="290">
        <f t="shared" si="52"/>
        <v>3006728.12</v>
      </c>
      <c r="U87" s="290">
        <f t="shared" si="52"/>
        <v>6562900</v>
      </c>
      <c r="V87" s="290">
        <f t="shared" si="52"/>
        <v>1899560</v>
      </c>
      <c r="W87" s="290">
        <f t="shared" si="52"/>
        <v>76000</v>
      </c>
      <c r="X87" s="290">
        <f t="shared" si="52"/>
        <v>490000</v>
      </c>
      <c r="Y87" s="290">
        <f t="shared" ref="Y87" si="53">SUM(Y7:Y86)</f>
        <v>99400</v>
      </c>
      <c r="Z87" s="290">
        <f t="shared" si="52"/>
        <v>105600</v>
      </c>
      <c r="AA87" s="290">
        <f t="shared" si="52"/>
        <v>2537800</v>
      </c>
      <c r="AB87" s="290">
        <f t="shared" ref="AB87" si="54">SUM(AB7:AB86)</f>
        <v>867100</v>
      </c>
      <c r="AC87" s="290">
        <f t="shared" si="52"/>
        <v>6695700</v>
      </c>
      <c r="AD87" s="290">
        <f t="shared" si="52"/>
        <v>2353200</v>
      </c>
      <c r="AE87" s="290">
        <f t="shared" ref="AE87:AF87" si="55">SUM(AE7:AE86)</f>
        <v>2445500</v>
      </c>
      <c r="AF87" s="290">
        <f t="shared" si="55"/>
        <v>14199575.009999998</v>
      </c>
      <c r="AG87" s="290">
        <f t="shared" si="52"/>
        <v>4438459.51</v>
      </c>
      <c r="AH87" s="280"/>
    </row>
    <row r="88" spans="1:34" x14ac:dyDescent="0.25">
      <c r="A88" s="273" t="s">
        <v>455</v>
      </c>
      <c r="B88" s="219" t="s">
        <v>456</v>
      </c>
      <c r="C88" s="219"/>
      <c r="D88" s="273"/>
      <c r="E88" s="218"/>
      <c r="F88" s="229"/>
      <c r="G88" s="229"/>
      <c r="H88" s="229"/>
      <c r="I88" s="282"/>
      <c r="J88" s="229"/>
      <c r="K88" s="229"/>
      <c r="L88" s="282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</row>
    <row r="89" spans="1:34" x14ac:dyDescent="0.25">
      <c r="A89" s="219"/>
      <c r="B89" s="219" t="s">
        <v>372</v>
      </c>
      <c r="C89" s="219"/>
      <c r="D89" s="273"/>
      <c r="E89" s="218"/>
      <c r="F89" s="229"/>
      <c r="G89" s="229"/>
      <c r="H89" s="229"/>
      <c r="I89" s="282"/>
      <c r="J89" s="229"/>
      <c r="K89" s="229"/>
      <c r="L89" s="282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</row>
    <row r="90" spans="1:34" x14ac:dyDescent="0.25">
      <c r="A90" s="219"/>
      <c r="B90" s="219" t="s">
        <v>457</v>
      </c>
      <c r="C90" s="219"/>
      <c r="D90" s="273"/>
      <c r="E90" s="218"/>
      <c r="F90" s="229"/>
      <c r="G90" s="229"/>
      <c r="H90" s="229"/>
      <c r="I90" s="282"/>
      <c r="J90" s="229"/>
      <c r="K90" s="229"/>
      <c r="L90" s="282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</row>
    <row r="91" spans="1:34" x14ac:dyDescent="0.25">
      <c r="A91" s="219"/>
      <c r="B91" s="219" t="s">
        <v>458</v>
      </c>
      <c r="C91" s="219"/>
      <c r="D91" s="273"/>
      <c r="E91" s="218"/>
      <c r="F91" s="229"/>
      <c r="G91" s="229"/>
      <c r="H91" s="229"/>
      <c r="I91" s="282"/>
      <c r="J91" s="229"/>
      <c r="K91" s="229"/>
      <c r="L91" s="282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</row>
    <row r="92" spans="1:34" s="281" customFormat="1" x14ac:dyDescent="0.25">
      <c r="A92" s="226" t="s">
        <v>459</v>
      </c>
      <c r="B92" s="227" t="s">
        <v>460</v>
      </c>
      <c r="C92" s="227"/>
      <c r="D92" s="226"/>
      <c r="E92" s="225"/>
      <c r="F92" s="228">
        <f t="shared" ref="F92:M92" si="56">SUM(F94:F99)</f>
        <v>184190173.45000002</v>
      </c>
      <c r="G92" s="228">
        <f>SUM(G94:G99)</f>
        <v>114274454.21000001</v>
      </c>
      <c r="H92" s="228">
        <f t="shared" si="56"/>
        <v>688954.21</v>
      </c>
      <c r="I92" s="228">
        <f>SUM(I94:I99)</f>
        <v>688954.21</v>
      </c>
      <c r="J92" s="228">
        <f t="shared" si="56"/>
        <v>0</v>
      </c>
      <c r="K92" s="228">
        <f t="shared" si="56"/>
        <v>113585500.00000001</v>
      </c>
      <c r="L92" s="228">
        <f t="shared" si="56"/>
        <v>113585500.00000001</v>
      </c>
      <c r="M92" s="228">
        <f t="shared" si="56"/>
        <v>0</v>
      </c>
      <c r="N92" s="228">
        <f>SUM(N94:N99)</f>
        <v>47924188.120000005</v>
      </c>
      <c r="O92" s="228">
        <f t="shared" ref="O92:P92" si="57">SUM(O94:O99)</f>
        <v>18618009.52</v>
      </c>
      <c r="P92" s="228">
        <f t="shared" si="57"/>
        <v>3373521.6</v>
      </c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80"/>
    </row>
    <row r="93" spans="1:34" x14ac:dyDescent="0.25">
      <c r="A93" s="219"/>
      <c r="B93" s="219" t="s">
        <v>372</v>
      </c>
      <c r="C93" s="219"/>
      <c r="D93" s="273"/>
      <c r="E93" s="218"/>
      <c r="F93" s="229"/>
      <c r="G93" s="229"/>
      <c r="H93" s="229"/>
      <c r="I93" s="282"/>
      <c r="J93" s="229"/>
      <c r="K93" s="229"/>
      <c r="L93" s="282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</row>
    <row r="94" spans="1:34" x14ac:dyDescent="0.25">
      <c r="A94" s="219"/>
      <c r="B94" s="219" t="s">
        <v>461</v>
      </c>
      <c r="C94" s="219"/>
      <c r="D94" s="273"/>
      <c r="E94" s="218"/>
      <c r="F94" s="229">
        <f>G94+N94</f>
        <v>13856416</v>
      </c>
      <c r="G94" s="229">
        <f>H94+K94</f>
        <v>0</v>
      </c>
      <c r="H94" s="229">
        <f>I94+J94</f>
        <v>0</v>
      </c>
      <c r="I94" s="282">
        <f>I86</f>
        <v>0</v>
      </c>
      <c r="J94" s="229"/>
      <c r="K94" s="229">
        <f>K86</f>
        <v>0</v>
      </c>
      <c r="L94" s="282">
        <f>L86</f>
        <v>0</v>
      </c>
      <c r="M94" s="229"/>
      <c r="N94" s="229">
        <f>N124+N149+N153+N157</f>
        <v>13856416</v>
      </c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91"/>
    </row>
    <row r="95" spans="1:34" x14ac:dyDescent="0.25">
      <c r="A95" s="219"/>
      <c r="B95" s="219" t="s">
        <v>462</v>
      </c>
      <c r="C95" s="219"/>
      <c r="D95" s="273"/>
      <c r="E95" s="218"/>
      <c r="F95" s="229">
        <f>G95+N95</f>
        <v>148342226.33000001</v>
      </c>
      <c r="G95" s="229">
        <f>H95+K95</f>
        <v>114274454.21000001</v>
      </c>
      <c r="H95" s="229">
        <f>I95+J95</f>
        <v>688954.21</v>
      </c>
      <c r="I95" s="282">
        <f>I87</f>
        <v>688954.21</v>
      </c>
      <c r="J95" s="229"/>
      <c r="K95" s="229">
        <f>K87</f>
        <v>113585500.00000001</v>
      </c>
      <c r="L95" s="282">
        <f>L87</f>
        <v>113585500.00000001</v>
      </c>
      <c r="M95" s="229"/>
      <c r="N95" s="229">
        <f>N87-N94</f>
        <v>34067772.120000005</v>
      </c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</row>
    <row r="96" spans="1:34" x14ac:dyDescent="0.25">
      <c r="A96" s="219"/>
      <c r="B96" s="219" t="s">
        <v>463</v>
      </c>
      <c r="C96" s="219"/>
      <c r="D96" s="273"/>
      <c r="E96" s="218"/>
      <c r="F96" s="229"/>
      <c r="G96" s="229"/>
      <c r="H96" s="229"/>
      <c r="I96" s="282"/>
      <c r="J96" s="229"/>
      <c r="K96" s="229"/>
      <c r="L96" s="282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</row>
    <row r="97" spans="1:34" x14ac:dyDescent="0.25">
      <c r="A97" s="219"/>
      <c r="B97" s="219" t="s">
        <v>464</v>
      </c>
      <c r="C97" s="219"/>
      <c r="D97" s="273"/>
      <c r="E97" s="218"/>
      <c r="F97" s="229"/>
      <c r="G97" s="229"/>
      <c r="H97" s="229"/>
      <c r="I97" s="282"/>
      <c r="J97" s="229"/>
      <c r="K97" s="229"/>
      <c r="L97" s="282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</row>
    <row r="98" spans="1:34" x14ac:dyDescent="0.25">
      <c r="A98" s="219"/>
      <c r="B98" s="219" t="s">
        <v>465</v>
      </c>
      <c r="C98" s="219"/>
      <c r="D98" s="273"/>
      <c r="E98" s="218"/>
      <c r="F98" s="229">
        <f>O98+P98</f>
        <v>21991531.120000001</v>
      </c>
      <c r="G98" s="229"/>
      <c r="H98" s="229"/>
      <c r="I98" s="292"/>
      <c r="J98" s="229"/>
      <c r="K98" s="229"/>
      <c r="L98" s="282"/>
      <c r="M98" s="229"/>
      <c r="N98" s="229"/>
      <c r="O98" s="229">
        <f>O87</f>
        <v>18618009.52</v>
      </c>
      <c r="P98" s="229">
        <f>P87</f>
        <v>3373521.6</v>
      </c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</row>
    <row r="99" spans="1:34" x14ac:dyDescent="0.25">
      <c r="A99" s="219"/>
      <c r="B99" s="219" t="s">
        <v>466</v>
      </c>
      <c r="C99" s="219"/>
      <c r="D99" s="273"/>
      <c r="E99" s="218"/>
      <c r="F99" s="229"/>
      <c r="G99" s="229"/>
      <c r="H99" s="229"/>
      <c r="I99" s="282"/>
      <c r="J99" s="229"/>
      <c r="K99" s="229"/>
      <c r="L99" s="282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</row>
    <row r="100" spans="1:34" s="299" customFormat="1" x14ac:dyDescent="0.25">
      <c r="A100" s="293" t="s">
        <v>467</v>
      </c>
      <c r="B100" s="294" t="s">
        <v>468</v>
      </c>
      <c r="C100" s="294"/>
      <c r="D100" s="293"/>
      <c r="E100" s="295"/>
      <c r="F100" s="296">
        <f>G100+N100+O100+P100</f>
        <v>179778678.84</v>
      </c>
      <c r="G100" s="296">
        <f t="shared" ref="G100" si="58">H100+K100</f>
        <v>113585500.00000001</v>
      </c>
      <c r="H100" s="296">
        <f t="shared" ref="H100" si="59">I100+J100</f>
        <v>0</v>
      </c>
      <c r="I100" s="297">
        <v>0</v>
      </c>
      <c r="J100" s="296"/>
      <c r="K100" s="296">
        <f t="shared" ref="K100:K103" si="60">L100+M100</f>
        <v>113585500.00000001</v>
      </c>
      <c r="L100" s="297">
        <f>L102</f>
        <v>113585500.00000001</v>
      </c>
      <c r="M100" s="296"/>
      <c r="N100" s="296">
        <f>N118</f>
        <v>47105760</v>
      </c>
      <c r="O100" s="296">
        <f>O102</f>
        <v>15758487.24</v>
      </c>
      <c r="P100" s="296">
        <f>P116</f>
        <v>3328931.6</v>
      </c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8">
        <f>L100+H98</f>
        <v>113585500.00000001</v>
      </c>
    </row>
    <row r="101" spans="1:34" s="305" customFormat="1" x14ac:dyDescent="0.25">
      <c r="A101" s="300"/>
      <c r="B101" s="300" t="s">
        <v>372</v>
      </c>
      <c r="C101" s="300"/>
      <c r="D101" s="301"/>
      <c r="E101" s="302"/>
      <c r="F101" s="303"/>
      <c r="G101" s="303"/>
      <c r="H101" s="303"/>
      <c r="I101" s="282"/>
      <c r="J101" s="303"/>
      <c r="K101" s="303"/>
      <c r="L101" s="282"/>
      <c r="M101" s="229">
        <f>M93</f>
        <v>0</v>
      </c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4"/>
    </row>
    <row r="102" spans="1:34" s="305" customFormat="1" ht="27" customHeight="1" x14ac:dyDescent="0.25">
      <c r="A102" s="301" t="s">
        <v>469</v>
      </c>
      <c r="B102" s="300" t="s">
        <v>470</v>
      </c>
      <c r="C102" s="301">
        <v>1200</v>
      </c>
      <c r="D102" s="301">
        <v>130</v>
      </c>
      <c r="E102" s="302"/>
      <c r="F102" s="303">
        <f t="shared" ref="F102" si="61">G102+N102+O102+P102</f>
        <v>129343987.24000001</v>
      </c>
      <c r="G102" s="303">
        <f t="shared" ref="G102:G103" si="62">H102+K102</f>
        <v>113585500.00000001</v>
      </c>
      <c r="H102" s="303">
        <f t="shared" ref="H102:H103" si="63">I102+J102</f>
        <v>0</v>
      </c>
      <c r="I102" s="282"/>
      <c r="J102" s="303"/>
      <c r="K102" s="303">
        <f t="shared" ref="K102" si="64">L102+M102</f>
        <v>113585500.00000001</v>
      </c>
      <c r="L102" s="282">
        <f>L103</f>
        <v>113585500.00000001</v>
      </c>
      <c r="M102" s="303"/>
      <c r="N102" s="303"/>
      <c r="O102" s="303">
        <f>O113</f>
        <v>15758487.24</v>
      </c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4"/>
    </row>
    <row r="103" spans="1:34" s="305" customFormat="1" ht="25.5" x14ac:dyDescent="0.25">
      <c r="A103" s="300"/>
      <c r="B103" s="300" t="s">
        <v>471</v>
      </c>
      <c r="C103" s="301">
        <v>1210</v>
      </c>
      <c r="D103" s="301">
        <v>130</v>
      </c>
      <c r="E103" s="302"/>
      <c r="F103" s="303">
        <f>G103+N103+O103+P103</f>
        <v>113585500.00000001</v>
      </c>
      <c r="G103" s="303">
        <f t="shared" si="62"/>
        <v>113585500.00000001</v>
      </c>
      <c r="H103" s="303">
        <f t="shared" si="63"/>
        <v>0</v>
      </c>
      <c r="I103" s="282"/>
      <c r="J103" s="303"/>
      <c r="K103" s="303">
        <f t="shared" si="60"/>
        <v>113585500.00000001</v>
      </c>
      <c r="L103" s="282">
        <f>L106</f>
        <v>113585500.00000001</v>
      </c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6"/>
    </row>
    <row r="104" spans="1:34" s="305" customFormat="1" x14ac:dyDescent="0.25">
      <c r="A104" s="300"/>
      <c r="B104" s="300" t="s">
        <v>372</v>
      </c>
      <c r="C104" s="300"/>
      <c r="D104" s="301"/>
      <c r="E104" s="302"/>
      <c r="F104" s="303"/>
      <c r="G104" s="303"/>
      <c r="H104" s="303"/>
      <c r="I104" s="282"/>
      <c r="J104" s="303"/>
      <c r="K104" s="303"/>
      <c r="L104" s="282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4"/>
    </row>
    <row r="105" spans="1:34" s="305" customFormat="1" x14ac:dyDescent="0.25">
      <c r="A105" s="300"/>
      <c r="B105" s="300" t="s">
        <v>472</v>
      </c>
      <c r="C105" s="300"/>
      <c r="D105" s="301"/>
      <c r="E105" s="302"/>
      <c r="F105" s="303"/>
      <c r="G105" s="303"/>
      <c r="H105" s="303"/>
      <c r="I105" s="282"/>
      <c r="J105" s="303"/>
      <c r="K105" s="303"/>
      <c r="L105" s="282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4"/>
    </row>
    <row r="106" spans="1:34" s="305" customFormat="1" x14ac:dyDescent="0.25">
      <c r="A106" s="300"/>
      <c r="B106" s="300" t="s">
        <v>473</v>
      </c>
      <c r="C106" s="300"/>
      <c r="D106" s="301"/>
      <c r="E106" s="302"/>
      <c r="F106" s="303">
        <f>G106+N106+O106+P106</f>
        <v>113585500.00000001</v>
      </c>
      <c r="G106" s="303">
        <f t="shared" ref="G106" si="65">H106+K106</f>
        <v>113585500.00000001</v>
      </c>
      <c r="H106" s="303">
        <f t="shared" ref="H106" si="66">I106+J106</f>
        <v>0</v>
      </c>
      <c r="I106" s="282"/>
      <c r="J106" s="303"/>
      <c r="K106" s="303">
        <f t="shared" ref="K106" si="67">L106+M106</f>
        <v>113585500.00000001</v>
      </c>
      <c r="L106" s="282">
        <f>L95</f>
        <v>113585500.00000001</v>
      </c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4"/>
    </row>
    <row r="107" spans="1:34" s="305" customFormat="1" x14ac:dyDescent="0.25">
      <c r="A107" s="300"/>
      <c r="B107" s="300" t="s">
        <v>474</v>
      </c>
      <c r="C107" s="300"/>
      <c r="D107" s="301"/>
      <c r="E107" s="302"/>
      <c r="F107" s="303"/>
      <c r="G107" s="303"/>
      <c r="H107" s="303"/>
      <c r="I107" s="282"/>
      <c r="J107" s="303"/>
      <c r="K107" s="303"/>
      <c r="L107" s="282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4"/>
    </row>
    <row r="108" spans="1:34" s="305" customFormat="1" ht="38.25" hidden="1" x14ac:dyDescent="0.25">
      <c r="A108" s="300"/>
      <c r="B108" s="307" t="s">
        <v>475</v>
      </c>
      <c r="C108" s="300"/>
      <c r="D108" s="301"/>
      <c r="E108" s="302"/>
      <c r="F108" s="303"/>
      <c r="G108" s="303"/>
      <c r="H108" s="303"/>
      <c r="I108" s="282"/>
      <c r="J108" s="303"/>
      <c r="K108" s="303"/>
      <c r="L108" s="282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4"/>
    </row>
    <row r="109" spans="1:34" s="305" customFormat="1" ht="25.5" hidden="1" x14ac:dyDescent="0.25">
      <c r="A109" s="300"/>
      <c r="B109" s="300" t="s">
        <v>476</v>
      </c>
      <c r="C109" s="300"/>
      <c r="D109" s="301"/>
      <c r="E109" s="302"/>
      <c r="F109" s="303"/>
      <c r="G109" s="303"/>
      <c r="H109" s="303"/>
      <c r="I109" s="282"/>
      <c r="J109" s="303"/>
      <c r="K109" s="303"/>
      <c r="L109" s="282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4"/>
    </row>
    <row r="110" spans="1:34" s="305" customFormat="1" ht="25.5" hidden="1" x14ac:dyDescent="0.25">
      <c r="A110" s="300"/>
      <c r="B110" s="300" t="s">
        <v>269</v>
      </c>
      <c r="C110" s="300"/>
      <c r="D110" s="301"/>
      <c r="E110" s="302"/>
      <c r="F110" s="303"/>
      <c r="G110" s="303"/>
      <c r="H110" s="303"/>
      <c r="I110" s="282"/>
      <c r="J110" s="303"/>
      <c r="K110" s="303"/>
      <c r="L110" s="282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4"/>
    </row>
    <row r="111" spans="1:34" s="305" customFormat="1" ht="25.5" hidden="1" x14ac:dyDescent="0.25">
      <c r="A111" s="300"/>
      <c r="B111" s="300" t="s">
        <v>477</v>
      </c>
      <c r="C111" s="300"/>
      <c r="D111" s="301"/>
      <c r="E111" s="302"/>
      <c r="F111" s="303"/>
      <c r="G111" s="303"/>
      <c r="H111" s="303"/>
      <c r="I111" s="282"/>
      <c r="J111" s="303"/>
      <c r="K111" s="303"/>
      <c r="L111" s="282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4"/>
    </row>
    <row r="112" spans="1:34" s="305" customFormat="1" hidden="1" x14ac:dyDescent="0.25">
      <c r="A112" s="300"/>
      <c r="B112" s="300" t="s">
        <v>478</v>
      </c>
      <c r="C112" s="300"/>
      <c r="D112" s="301"/>
      <c r="E112" s="302"/>
      <c r="F112" s="303"/>
      <c r="G112" s="303"/>
      <c r="H112" s="303"/>
      <c r="I112" s="282"/>
      <c r="J112" s="303"/>
      <c r="K112" s="303"/>
      <c r="L112" s="282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4"/>
    </row>
    <row r="113" spans="1:34" s="305" customFormat="1" x14ac:dyDescent="0.25">
      <c r="A113" s="300"/>
      <c r="B113" s="300" t="s">
        <v>935</v>
      </c>
      <c r="C113" s="301">
        <v>1230</v>
      </c>
      <c r="D113" s="301">
        <v>130</v>
      </c>
      <c r="E113" s="302"/>
      <c r="F113" s="303">
        <f>G113+N113+O113+P113</f>
        <v>15758487.24</v>
      </c>
      <c r="G113" s="303">
        <f t="shared" ref="G113" si="68">H113+K113</f>
        <v>0</v>
      </c>
      <c r="H113" s="303">
        <f t="shared" ref="H113" si="69">I113+J113</f>
        <v>0</v>
      </c>
      <c r="I113" s="282"/>
      <c r="J113" s="303"/>
      <c r="K113" s="303"/>
      <c r="L113" s="282"/>
      <c r="M113" s="303"/>
      <c r="N113" s="303"/>
      <c r="O113" s="303">
        <f>O92-O175</f>
        <v>15758487.24</v>
      </c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4"/>
    </row>
    <row r="114" spans="1:34" s="305" customFormat="1" ht="25.5" x14ac:dyDescent="0.25">
      <c r="A114" s="301" t="s">
        <v>479</v>
      </c>
      <c r="B114" s="300" t="s">
        <v>480</v>
      </c>
      <c r="C114" s="301">
        <v>1300</v>
      </c>
      <c r="D114" s="301">
        <v>140</v>
      </c>
      <c r="E114" s="302"/>
      <c r="F114" s="303"/>
      <c r="G114" s="303"/>
      <c r="H114" s="303"/>
      <c r="I114" s="282"/>
      <c r="J114" s="303"/>
      <c r="K114" s="303"/>
      <c r="L114" s="282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4"/>
    </row>
    <row r="115" spans="1:34" s="305" customFormat="1" x14ac:dyDescent="0.25">
      <c r="A115" s="300"/>
      <c r="B115" s="300" t="s">
        <v>215</v>
      </c>
      <c r="C115" s="301">
        <v>1310</v>
      </c>
      <c r="D115" s="301">
        <v>140</v>
      </c>
      <c r="E115" s="302"/>
      <c r="F115" s="303"/>
      <c r="G115" s="303"/>
      <c r="H115" s="303"/>
      <c r="I115" s="282"/>
      <c r="J115" s="303"/>
      <c r="K115" s="303"/>
      <c r="L115" s="282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4"/>
    </row>
    <row r="116" spans="1:34" s="305" customFormat="1" x14ac:dyDescent="0.25">
      <c r="A116" s="301" t="s">
        <v>481</v>
      </c>
      <c r="B116" s="300" t="s">
        <v>482</v>
      </c>
      <c r="C116" s="301">
        <v>1400</v>
      </c>
      <c r="D116" s="301">
        <v>150</v>
      </c>
      <c r="E116" s="302"/>
      <c r="F116" s="303">
        <f>F117</f>
        <v>0</v>
      </c>
      <c r="G116" s="303"/>
      <c r="H116" s="303"/>
      <c r="I116" s="282"/>
      <c r="J116" s="303"/>
      <c r="K116" s="303"/>
      <c r="L116" s="282"/>
      <c r="M116" s="303"/>
      <c r="N116" s="303"/>
      <c r="O116" s="303"/>
      <c r="P116" s="303">
        <v>3328931.6</v>
      </c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4"/>
    </row>
    <row r="117" spans="1:34" s="305" customFormat="1" x14ac:dyDescent="0.25">
      <c r="A117" s="300"/>
      <c r="B117" s="300" t="s">
        <v>215</v>
      </c>
      <c r="C117" s="301">
        <v>1410</v>
      </c>
      <c r="D117" s="301">
        <v>150</v>
      </c>
      <c r="E117" s="302"/>
      <c r="F117" s="303">
        <f>G117+N117+O117+P117</f>
        <v>0</v>
      </c>
      <c r="G117" s="303"/>
      <c r="H117" s="303"/>
      <c r="I117" s="282"/>
      <c r="J117" s="303"/>
      <c r="K117" s="303"/>
      <c r="L117" s="282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4"/>
    </row>
    <row r="118" spans="1:34" s="305" customFormat="1" x14ac:dyDescent="0.25">
      <c r="A118" s="301" t="s">
        <v>483</v>
      </c>
      <c r="B118" s="300" t="s">
        <v>484</v>
      </c>
      <c r="C118" s="301">
        <v>1500</v>
      </c>
      <c r="D118" s="301">
        <v>180</v>
      </c>
      <c r="E118" s="302"/>
      <c r="F118" s="303">
        <f>G118+N118+O118+P118</f>
        <v>47105760</v>
      </c>
      <c r="G118" s="303">
        <f t="shared" ref="G118" si="70">H118+K118</f>
        <v>0</v>
      </c>
      <c r="H118" s="303">
        <f t="shared" ref="H118" si="71">I118+J118</f>
        <v>0</v>
      </c>
      <c r="I118" s="282"/>
      <c r="J118" s="303"/>
      <c r="K118" s="303"/>
      <c r="L118" s="282"/>
      <c r="M118" s="303"/>
      <c r="N118" s="303">
        <f>N120+N123+N127+N130+N133+N136+N139+N142+N145+N148+N152+N156+N160+N169+N163+N166</f>
        <v>47105760</v>
      </c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4"/>
    </row>
    <row r="119" spans="1:34" s="305" customFormat="1" x14ac:dyDescent="0.25">
      <c r="A119" s="300"/>
      <c r="B119" s="300" t="s">
        <v>215</v>
      </c>
      <c r="C119" s="300"/>
      <c r="D119" s="301"/>
      <c r="E119" s="302"/>
      <c r="F119" s="303"/>
      <c r="G119" s="303"/>
      <c r="H119" s="303"/>
      <c r="I119" s="282"/>
      <c r="J119" s="303"/>
      <c r="K119" s="303"/>
      <c r="L119" s="282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4"/>
    </row>
    <row r="120" spans="1:34" s="305" customFormat="1" ht="51" x14ac:dyDescent="0.25">
      <c r="A120" s="300"/>
      <c r="B120" s="300" t="s">
        <v>583</v>
      </c>
      <c r="C120" s="301">
        <v>1510</v>
      </c>
      <c r="D120" s="301">
        <v>180</v>
      </c>
      <c r="E120" s="302"/>
      <c r="F120" s="303">
        <f>G120+N120+O120+P120</f>
        <v>3500700</v>
      </c>
      <c r="G120" s="303">
        <f t="shared" ref="G120:G173" si="72">H120+K120</f>
        <v>0</v>
      </c>
      <c r="H120" s="303">
        <f t="shared" ref="H120:H173" si="73">I120+J120</f>
        <v>0</v>
      </c>
      <c r="I120" s="282"/>
      <c r="J120" s="303"/>
      <c r="K120" s="303"/>
      <c r="L120" s="282"/>
      <c r="M120" s="303"/>
      <c r="N120" s="303">
        <f>N121</f>
        <v>3500700</v>
      </c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4">
        <v>7019</v>
      </c>
    </row>
    <row r="121" spans="1:34" s="305" customFormat="1" x14ac:dyDescent="0.25">
      <c r="A121" s="300"/>
      <c r="B121" s="300" t="s">
        <v>473</v>
      </c>
      <c r="C121" s="300"/>
      <c r="D121" s="301"/>
      <c r="E121" s="302"/>
      <c r="F121" s="303">
        <f>G121+N121+O121+P121</f>
        <v>3500700</v>
      </c>
      <c r="G121" s="303">
        <f t="shared" si="72"/>
        <v>0</v>
      </c>
      <c r="H121" s="303">
        <f t="shared" si="73"/>
        <v>0</v>
      </c>
      <c r="I121" s="282"/>
      <c r="J121" s="303"/>
      <c r="K121" s="303"/>
      <c r="L121" s="282"/>
      <c r="M121" s="303"/>
      <c r="N121" s="303">
        <f>Q87</f>
        <v>3500700</v>
      </c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4"/>
    </row>
    <row r="122" spans="1:34" s="305" customFormat="1" x14ac:dyDescent="0.25">
      <c r="A122" s="300"/>
      <c r="B122" s="300" t="s">
        <v>474</v>
      </c>
      <c r="C122" s="300"/>
      <c r="D122" s="301"/>
      <c r="E122" s="302"/>
      <c r="F122" s="303">
        <f>G122+N122+O122+P122</f>
        <v>0</v>
      </c>
      <c r="G122" s="303">
        <f t="shared" si="72"/>
        <v>0</v>
      </c>
      <c r="H122" s="303">
        <f t="shared" si="73"/>
        <v>0</v>
      </c>
      <c r="I122" s="282"/>
      <c r="J122" s="303"/>
      <c r="K122" s="303"/>
      <c r="L122" s="282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4"/>
    </row>
    <row r="123" spans="1:34" s="305" customFormat="1" ht="63.75" x14ac:dyDescent="0.25">
      <c r="A123" s="300"/>
      <c r="B123" s="300" t="s">
        <v>932</v>
      </c>
      <c r="C123" s="301">
        <v>1520</v>
      </c>
      <c r="D123" s="301">
        <v>180</v>
      </c>
      <c r="E123" s="302"/>
      <c r="F123" s="303">
        <f t="shared" ref="F123:F173" si="74">G123+N123+O123+P123</f>
        <v>6562900</v>
      </c>
      <c r="G123" s="303">
        <f t="shared" si="72"/>
        <v>0</v>
      </c>
      <c r="H123" s="303">
        <f t="shared" si="73"/>
        <v>0</v>
      </c>
      <c r="I123" s="282"/>
      <c r="J123" s="303"/>
      <c r="K123" s="303"/>
      <c r="L123" s="282"/>
      <c r="M123" s="303"/>
      <c r="N123" s="303">
        <f>N125+N124+N126</f>
        <v>6562900</v>
      </c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4"/>
    </row>
    <row r="124" spans="1:34" s="305" customFormat="1" x14ac:dyDescent="0.25">
      <c r="A124" s="300"/>
      <c r="B124" s="300" t="s">
        <v>472</v>
      </c>
      <c r="C124" s="300"/>
      <c r="D124" s="301"/>
      <c r="E124" s="302"/>
      <c r="F124" s="303">
        <f t="shared" ref="F124" si="75">G124+N124+O124+P124</f>
        <v>3333316</v>
      </c>
      <c r="G124" s="303">
        <f t="shared" ref="G124" si="76">H124+K124</f>
        <v>0</v>
      </c>
      <c r="H124" s="303">
        <f t="shared" ref="H124" si="77">I124+J124</f>
        <v>0</v>
      </c>
      <c r="I124" s="282"/>
      <c r="J124" s="303"/>
      <c r="K124" s="303"/>
      <c r="L124" s="282"/>
      <c r="M124" s="303"/>
      <c r="N124" s="303">
        <f>U87-N125</f>
        <v>3333316</v>
      </c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4"/>
    </row>
    <row r="125" spans="1:34" s="305" customFormat="1" x14ac:dyDescent="0.25">
      <c r="A125" s="300"/>
      <c r="B125" s="300" t="s">
        <v>473</v>
      </c>
      <c r="C125" s="300"/>
      <c r="D125" s="301"/>
      <c r="E125" s="302"/>
      <c r="F125" s="303">
        <f t="shared" si="74"/>
        <v>3229584</v>
      </c>
      <c r="G125" s="303">
        <f t="shared" si="72"/>
        <v>0</v>
      </c>
      <c r="H125" s="303">
        <f t="shared" si="73"/>
        <v>0</v>
      </c>
      <c r="I125" s="282"/>
      <c r="J125" s="303"/>
      <c r="K125" s="303"/>
      <c r="L125" s="282"/>
      <c r="M125" s="303"/>
      <c r="N125" s="303">
        <v>3229584</v>
      </c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4"/>
    </row>
    <row r="126" spans="1:34" s="305" customFormat="1" x14ac:dyDescent="0.25">
      <c r="A126" s="300"/>
      <c r="B126" s="300" t="s">
        <v>474</v>
      </c>
      <c r="C126" s="300"/>
      <c r="D126" s="301"/>
      <c r="E126" s="302"/>
      <c r="F126" s="303">
        <f t="shared" si="74"/>
        <v>0</v>
      </c>
      <c r="G126" s="303">
        <f t="shared" si="72"/>
        <v>0</v>
      </c>
      <c r="H126" s="303">
        <f t="shared" si="73"/>
        <v>0</v>
      </c>
      <c r="I126" s="282"/>
      <c r="J126" s="303"/>
      <c r="K126" s="303"/>
      <c r="L126" s="282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4"/>
    </row>
    <row r="127" spans="1:34" s="305" customFormat="1" ht="38.25" x14ac:dyDescent="0.25">
      <c r="A127" s="300"/>
      <c r="B127" s="300" t="s">
        <v>584</v>
      </c>
      <c r="C127" s="301">
        <v>1530</v>
      </c>
      <c r="D127" s="301">
        <v>180</v>
      </c>
      <c r="E127" s="302"/>
      <c r="F127" s="303">
        <f t="shared" si="74"/>
        <v>5716400</v>
      </c>
      <c r="G127" s="303">
        <f t="shared" si="72"/>
        <v>0</v>
      </c>
      <c r="H127" s="303">
        <f t="shared" si="73"/>
        <v>0</v>
      </c>
      <c r="I127" s="282"/>
      <c r="J127" s="303"/>
      <c r="K127" s="303"/>
      <c r="L127" s="282"/>
      <c r="M127" s="303"/>
      <c r="N127" s="303">
        <f>N128</f>
        <v>5716400</v>
      </c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4">
        <v>7020</v>
      </c>
    </row>
    <row r="128" spans="1:34" s="305" customFormat="1" x14ac:dyDescent="0.25">
      <c r="A128" s="300"/>
      <c r="B128" s="300" t="s">
        <v>473</v>
      </c>
      <c r="C128" s="300"/>
      <c r="D128" s="301"/>
      <c r="E128" s="302"/>
      <c r="F128" s="303">
        <f t="shared" si="74"/>
        <v>5716400</v>
      </c>
      <c r="G128" s="303">
        <f t="shared" si="72"/>
        <v>0</v>
      </c>
      <c r="H128" s="303">
        <f t="shared" si="73"/>
        <v>0</v>
      </c>
      <c r="I128" s="282"/>
      <c r="J128" s="303"/>
      <c r="K128" s="303"/>
      <c r="L128" s="282"/>
      <c r="M128" s="303"/>
      <c r="N128" s="303">
        <f>R87</f>
        <v>5716400</v>
      </c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4"/>
    </row>
    <row r="129" spans="1:34" s="305" customFormat="1" x14ac:dyDescent="0.25">
      <c r="A129" s="300"/>
      <c r="B129" s="300" t="s">
        <v>474</v>
      </c>
      <c r="C129" s="300"/>
      <c r="D129" s="301"/>
      <c r="E129" s="302"/>
      <c r="F129" s="303">
        <f t="shared" si="74"/>
        <v>0</v>
      </c>
      <c r="G129" s="303">
        <f t="shared" si="72"/>
        <v>0</v>
      </c>
      <c r="H129" s="303">
        <f t="shared" si="73"/>
        <v>0</v>
      </c>
      <c r="I129" s="282"/>
      <c r="J129" s="303"/>
      <c r="K129" s="303"/>
      <c r="L129" s="282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4"/>
    </row>
    <row r="130" spans="1:34" s="305" customFormat="1" ht="38.25" x14ac:dyDescent="0.25">
      <c r="A130" s="300"/>
      <c r="B130" s="300" t="s">
        <v>585</v>
      </c>
      <c r="C130" s="301">
        <v>1540</v>
      </c>
      <c r="D130" s="301">
        <v>180</v>
      </c>
      <c r="E130" s="302"/>
      <c r="F130" s="303">
        <f t="shared" si="74"/>
        <v>490000</v>
      </c>
      <c r="G130" s="303">
        <f t="shared" si="72"/>
        <v>0</v>
      </c>
      <c r="H130" s="303">
        <f t="shared" si="73"/>
        <v>0</v>
      </c>
      <c r="I130" s="282"/>
      <c r="J130" s="303"/>
      <c r="K130" s="303"/>
      <c r="L130" s="282"/>
      <c r="M130" s="303"/>
      <c r="N130" s="303">
        <f>N131</f>
        <v>490000</v>
      </c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4" t="s">
        <v>591</v>
      </c>
    </row>
    <row r="131" spans="1:34" s="305" customFormat="1" x14ac:dyDescent="0.25">
      <c r="A131" s="300"/>
      <c r="B131" s="300" t="s">
        <v>473</v>
      </c>
      <c r="C131" s="300"/>
      <c r="D131" s="301"/>
      <c r="E131" s="302"/>
      <c r="F131" s="303">
        <f t="shared" si="74"/>
        <v>490000</v>
      </c>
      <c r="G131" s="303">
        <f t="shared" si="72"/>
        <v>0</v>
      </c>
      <c r="H131" s="303">
        <f t="shared" si="73"/>
        <v>0</v>
      </c>
      <c r="I131" s="282"/>
      <c r="J131" s="303"/>
      <c r="K131" s="303"/>
      <c r="L131" s="282"/>
      <c r="M131" s="303"/>
      <c r="N131" s="303">
        <f>X87</f>
        <v>490000</v>
      </c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4"/>
    </row>
    <row r="132" spans="1:34" s="305" customFormat="1" x14ac:dyDescent="0.25">
      <c r="A132" s="300"/>
      <c r="B132" s="300" t="s">
        <v>474</v>
      </c>
      <c r="C132" s="300"/>
      <c r="D132" s="301"/>
      <c r="E132" s="302"/>
      <c r="F132" s="303">
        <f t="shared" si="74"/>
        <v>0</v>
      </c>
      <c r="G132" s="303">
        <f t="shared" si="72"/>
        <v>0</v>
      </c>
      <c r="H132" s="303">
        <f t="shared" si="73"/>
        <v>0</v>
      </c>
      <c r="I132" s="282"/>
      <c r="J132" s="303"/>
      <c r="K132" s="303"/>
      <c r="L132" s="282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4"/>
    </row>
    <row r="133" spans="1:34" s="305" customFormat="1" ht="51" x14ac:dyDescent="0.25">
      <c r="A133" s="300"/>
      <c r="B133" s="300" t="s">
        <v>586</v>
      </c>
      <c r="C133" s="301">
        <v>1550</v>
      </c>
      <c r="D133" s="301">
        <v>180</v>
      </c>
      <c r="E133" s="302"/>
      <c r="F133" s="303">
        <f t="shared" si="74"/>
        <v>2445500</v>
      </c>
      <c r="G133" s="303">
        <f t="shared" si="72"/>
        <v>0</v>
      </c>
      <c r="H133" s="303">
        <f t="shared" si="73"/>
        <v>0</v>
      </c>
      <c r="I133" s="282"/>
      <c r="J133" s="303"/>
      <c r="K133" s="303"/>
      <c r="L133" s="282"/>
      <c r="M133" s="303"/>
      <c r="N133" s="303">
        <f>N134</f>
        <v>2445500</v>
      </c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4">
        <v>7451</v>
      </c>
    </row>
    <row r="134" spans="1:34" s="305" customFormat="1" x14ac:dyDescent="0.25">
      <c r="A134" s="300"/>
      <c r="B134" s="300" t="s">
        <v>473</v>
      </c>
      <c r="C134" s="300"/>
      <c r="D134" s="301"/>
      <c r="E134" s="302"/>
      <c r="F134" s="303">
        <f t="shared" si="74"/>
        <v>2445500</v>
      </c>
      <c r="G134" s="303">
        <f t="shared" si="72"/>
        <v>0</v>
      </c>
      <c r="H134" s="303">
        <f t="shared" si="73"/>
        <v>0</v>
      </c>
      <c r="I134" s="282"/>
      <c r="J134" s="303"/>
      <c r="K134" s="303"/>
      <c r="L134" s="282"/>
      <c r="M134" s="303"/>
      <c r="N134" s="303">
        <f>AE87</f>
        <v>2445500</v>
      </c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4"/>
    </row>
    <row r="135" spans="1:34" s="305" customFormat="1" x14ac:dyDescent="0.25">
      <c r="A135" s="300"/>
      <c r="B135" s="300" t="s">
        <v>474</v>
      </c>
      <c r="C135" s="300"/>
      <c r="D135" s="301"/>
      <c r="E135" s="302"/>
      <c r="F135" s="303">
        <f t="shared" si="74"/>
        <v>0</v>
      </c>
      <c r="G135" s="303">
        <f t="shared" si="72"/>
        <v>0</v>
      </c>
      <c r="H135" s="303">
        <f t="shared" si="73"/>
        <v>0</v>
      </c>
      <c r="I135" s="282"/>
      <c r="J135" s="303"/>
      <c r="K135" s="303"/>
      <c r="L135" s="282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4"/>
    </row>
    <row r="136" spans="1:34" s="305" customFormat="1" ht="63.75" hidden="1" x14ac:dyDescent="0.25">
      <c r="A136" s="300"/>
      <c r="B136" s="300" t="s">
        <v>588</v>
      </c>
      <c r="C136" s="301">
        <v>1560</v>
      </c>
      <c r="D136" s="301">
        <v>180</v>
      </c>
      <c r="E136" s="302"/>
      <c r="F136" s="303">
        <f t="shared" si="74"/>
        <v>0</v>
      </c>
      <c r="G136" s="303">
        <f t="shared" si="72"/>
        <v>0</v>
      </c>
      <c r="H136" s="303">
        <f t="shared" si="73"/>
        <v>0</v>
      </c>
      <c r="I136" s="282"/>
      <c r="J136" s="303"/>
      <c r="K136" s="303"/>
      <c r="L136" s="282"/>
      <c r="M136" s="303"/>
      <c r="N136" s="303">
        <f>N137</f>
        <v>0</v>
      </c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4">
        <v>7033</v>
      </c>
    </row>
    <row r="137" spans="1:34" s="305" customFormat="1" hidden="1" x14ac:dyDescent="0.25">
      <c r="A137" s="300"/>
      <c r="B137" s="300" t="s">
        <v>473</v>
      </c>
      <c r="C137" s="300"/>
      <c r="D137" s="301"/>
      <c r="E137" s="302"/>
      <c r="F137" s="303">
        <f t="shared" si="74"/>
        <v>0</v>
      </c>
      <c r="G137" s="303">
        <f t="shared" si="72"/>
        <v>0</v>
      </c>
      <c r="H137" s="303">
        <f t="shared" si="73"/>
        <v>0</v>
      </c>
      <c r="I137" s="282"/>
      <c r="J137" s="303"/>
      <c r="K137" s="303"/>
      <c r="L137" s="282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4"/>
    </row>
    <row r="138" spans="1:34" s="305" customFormat="1" hidden="1" x14ac:dyDescent="0.25">
      <c r="A138" s="300"/>
      <c r="B138" s="300" t="s">
        <v>474</v>
      </c>
      <c r="C138" s="300"/>
      <c r="D138" s="301"/>
      <c r="E138" s="302"/>
      <c r="F138" s="303">
        <f t="shared" si="74"/>
        <v>0</v>
      </c>
      <c r="G138" s="303">
        <f t="shared" si="72"/>
        <v>0</v>
      </c>
      <c r="H138" s="303">
        <f t="shared" si="73"/>
        <v>0</v>
      </c>
      <c r="I138" s="282"/>
      <c r="J138" s="303"/>
      <c r="K138" s="303"/>
      <c r="L138" s="282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4"/>
    </row>
    <row r="139" spans="1:34" s="305" customFormat="1" ht="51" x14ac:dyDescent="0.25">
      <c r="A139" s="300"/>
      <c r="B139" s="300" t="s">
        <v>587</v>
      </c>
      <c r="C139" s="301">
        <v>1570</v>
      </c>
      <c r="D139" s="301">
        <v>180</v>
      </c>
      <c r="E139" s="302"/>
      <c r="F139" s="303">
        <f t="shared" si="74"/>
        <v>11567600</v>
      </c>
      <c r="G139" s="303">
        <f t="shared" si="72"/>
        <v>0</v>
      </c>
      <c r="H139" s="303">
        <f t="shared" si="73"/>
        <v>0</v>
      </c>
      <c r="I139" s="282"/>
      <c r="J139" s="303"/>
      <c r="K139" s="303"/>
      <c r="L139" s="282"/>
      <c r="M139" s="303"/>
      <c r="N139" s="303">
        <f>N140</f>
        <v>11567600</v>
      </c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4">
        <v>7450</v>
      </c>
    </row>
    <row r="140" spans="1:34" s="305" customFormat="1" x14ac:dyDescent="0.25">
      <c r="A140" s="300"/>
      <c r="B140" s="300" t="s">
        <v>473</v>
      </c>
      <c r="C140" s="300"/>
      <c r="D140" s="301"/>
      <c r="E140" s="302"/>
      <c r="F140" s="303">
        <f t="shared" si="74"/>
        <v>11567600</v>
      </c>
      <c r="G140" s="303">
        <f t="shared" si="72"/>
        <v>0</v>
      </c>
      <c r="H140" s="303">
        <f t="shared" si="73"/>
        <v>0</v>
      </c>
      <c r="I140" s="282"/>
      <c r="J140" s="303"/>
      <c r="K140" s="303"/>
      <c r="L140" s="282"/>
      <c r="M140" s="303"/>
      <c r="N140" s="303">
        <f>S87</f>
        <v>11567600</v>
      </c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4"/>
    </row>
    <row r="141" spans="1:34" s="305" customFormat="1" x14ac:dyDescent="0.25">
      <c r="A141" s="300"/>
      <c r="B141" s="300" t="s">
        <v>474</v>
      </c>
      <c r="C141" s="300"/>
      <c r="D141" s="301"/>
      <c r="E141" s="302"/>
      <c r="F141" s="303">
        <f t="shared" si="74"/>
        <v>0</v>
      </c>
      <c r="G141" s="303">
        <f t="shared" si="72"/>
        <v>0</v>
      </c>
      <c r="H141" s="303">
        <f t="shared" si="73"/>
        <v>0</v>
      </c>
      <c r="I141" s="282"/>
      <c r="J141" s="303"/>
      <c r="K141" s="303"/>
      <c r="L141" s="282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4"/>
    </row>
    <row r="142" spans="1:34" s="305" customFormat="1" ht="51" x14ac:dyDescent="0.25">
      <c r="A142" s="300"/>
      <c r="B142" s="300" t="s">
        <v>589</v>
      </c>
      <c r="C142" s="301">
        <v>1580</v>
      </c>
      <c r="D142" s="301">
        <v>180</v>
      </c>
      <c r="E142" s="302"/>
      <c r="F142" s="303">
        <f t="shared" si="74"/>
        <v>105600</v>
      </c>
      <c r="G142" s="303">
        <f t="shared" si="72"/>
        <v>0</v>
      </c>
      <c r="H142" s="303">
        <f t="shared" si="73"/>
        <v>0</v>
      </c>
      <c r="I142" s="282"/>
      <c r="J142" s="303"/>
      <c r="K142" s="303"/>
      <c r="L142" s="282"/>
      <c r="M142" s="303"/>
      <c r="N142" s="303">
        <f>N143</f>
        <v>105600</v>
      </c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4" t="s">
        <v>592</v>
      </c>
    </row>
    <row r="143" spans="1:34" s="305" customFormat="1" x14ac:dyDescent="0.25">
      <c r="A143" s="300"/>
      <c r="B143" s="300" t="s">
        <v>473</v>
      </c>
      <c r="C143" s="300"/>
      <c r="D143" s="301"/>
      <c r="E143" s="302"/>
      <c r="F143" s="303">
        <f t="shared" si="74"/>
        <v>105600</v>
      </c>
      <c r="G143" s="303">
        <f t="shared" si="72"/>
        <v>0</v>
      </c>
      <c r="H143" s="303">
        <f t="shared" si="73"/>
        <v>0</v>
      </c>
      <c r="I143" s="282"/>
      <c r="J143" s="303"/>
      <c r="K143" s="303"/>
      <c r="L143" s="282"/>
      <c r="M143" s="303"/>
      <c r="N143" s="303">
        <f>Z87</f>
        <v>105600</v>
      </c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4"/>
    </row>
    <row r="144" spans="1:34" s="305" customFormat="1" x14ac:dyDescent="0.25">
      <c r="A144" s="300"/>
      <c r="B144" s="300" t="s">
        <v>474</v>
      </c>
      <c r="C144" s="300"/>
      <c r="D144" s="301"/>
      <c r="E144" s="302"/>
      <c r="F144" s="303">
        <f t="shared" si="74"/>
        <v>0</v>
      </c>
      <c r="G144" s="303">
        <f t="shared" si="72"/>
        <v>0</v>
      </c>
      <c r="H144" s="303">
        <f t="shared" si="73"/>
        <v>0</v>
      </c>
      <c r="I144" s="282"/>
      <c r="J144" s="303"/>
      <c r="K144" s="303"/>
      <c r="L144" s="282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4"/>
    </row>
    <row r="145" spans="1:34" s="305" customFormat="1" ht="63.75" x14ac:dyDescent="0.25">
      <c r="A145" s="300"/>
      <c r="B145" s="300" t="s">
        <v>590</v>
      </c>
      <c r="C145" s="301">
        <v>1590</v>
      </c>
      <c r="D145" s="301">
        <v>180</v>
      </c>
      <c r="E145" s="302"/>
      <c r="F145" s="303">
        <f t="shared" si="74"/>
        <v>2537800</v>
      </c>
      <c r="G145" s="303">
        <f t="shared" si="72"/>
        <v>0</v>
      </c>
      <c r="H145" s="303">
        <f t="shared" si="73"/>
        <v>0</v>
      </c>
      <c r="I145" s="282"/>
      <c r="J145" s="303"/>
      <c r="K145" s="303"/>
      <c r="L145" s="282"/>
      <c r="M145" s="303"/>
      <c r="N145" s="303">
        <f>N146</f>
        <v>2537800</v>
      </c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4" t="s">
        <v>593</v>
      </c>
    </row>
    <row r="146" spans="1:34" s="305" customFormat="1" x14ac:dyDescent="0.25">
      <c r="A146" s="300"/>
      <c r="B146" s="300" t="s">
        <v>473</v>
      </c>
      <c r="C146" s="300"/>
      <c r="D146" s="301"/>
      <c r="E146" s="302"/>
      <c r="F146" s="303">
        <f t="shared" si="74"/>
        <v>2537800</v>
      </c>
      <c r="G146" s="303">
        <f t="shared" si="72"/>
        <v>0</v>
      </c>
      <c r="H146" s="303">
        <f t="shared" si="73"/>
        <v>0</v>
      </c>
      <c r="I146" s="282"/>
      <c r="J146" s="303"/>
      <c r="K146" s="303"/>
      <c r="L146" s="282"/>
      <c r="M146" s="303"/>
      <c r="N146" s="303">
        <f>AA87</f>
        <v>2537800</v>
      </c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4"/>
    </row>
    <row r="147" spans="1:34" s="305" customFormat="1" x14ac:dyDescent="0.25">
      <c r="A147" s="300"/>
      <c r="B147" s="300" t="s">
        <v>474</v>
      </c>
      <c r="C147" s="300"/>
      <c r="D147" s="301"/>
      <c r="E147" s="302"/>
      <c r="F147" s="303">
        <f t="shared" si="74"/>
        <v>0</v>
      </c>
      <c r="G147" s="303">
        <f t="shared" si="72"/>
        <v>0</v>
      </c>
      <c r="H147" s="303">
        <f t="shared" si="73"/>
        <v>0</v>
      </c>
      <c r="I147" s="282"/>
      <c r="J147" s="303"/>
      <c r="K147" s="303"/>
      <c r="L147" s="282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4"/>
    </row>
    <row r="148" spans="1:34" s="305" customFormat="1" ht="42.75" customHeight="1" x14ac:dyDescent="0.25">
      <c r="A148" s="300"/>
      <c r="B148" s="300" t="s">
        <v>950</v>
      </c>
      <c r="C148" s="301">
        <v>1600</v>
      </c>
      <c r="D148" s="301">
        <v>180</v>
      </c>
      <c r="E148" s="302"/>
      <c r="F148" s="303">
        <f t="shared" si="74"/>
        <v>1899560</v>
      </c>
      <c r="G148" s="303">
        <f t="shared" si="72"/>
        <v>0</v>
      </c>
      <c r="H148" s="303">
        <f t="shared" si="73"/>
        <v>0</v>
      </c>
      <c r="I148" s="282"/>
      <c r="J148" s="303"/>
      <c r="K148" s="303"/>
      <c r="L148" s="282"/>
      <c r="M148" s="303"/>
      <c r="N148" s="303">
        <f>SUM(N149:N151)</f>
        <v>1899560</v>
      </c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4"/>
    </row>
    <row r="149" spans="1:34" s="305" customFormat="1" x14ac:dyDescent="0.25">
      <c r="A149" s="300"/>
      <c r="B149" s="300" t="s">
        <v>472</v>
      </c>
      <c r="C149" s="300"/>
      <c r="D149" s="301"/>
      <c r="E149" s="302"/>
      <c r="F149" s="303">
        <f t="shared" si="74"/>
        <v>1709600</v>
      </c>
      <c r="G149" s="303">
        <f t="shared" si="72"/>
        <v>0</v>
      </c>
      <c r="H149" s="303">
        <f t="shared" si="73"/>
        <v>0</v>
      </c>
      <c r="I149" s="282"/>
      <c r="J149" s="303"/>
      <c r="K149" s="303"/>
      <c r="L149" s="282"/>
      <c r="M149" s="303"/>
      <c r="N149" s="303">
        <f>V87-N150</f>
        <v>1709600</v>
      </c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4"/>
    </row>
    <row r="150" spans="1:34" s="305" customFormat="1" x14ac:dyDescent="0.25">
      <c r="A150" s="300"/>
      <c r="B150" s="300" t="s">
        <v>473</v>
      </c>
      <c r="C150" s="300"/>
      <c r="D150" s="301"/>
      <c r="E150" s="302"/>
      <c r="F150" s="303">
        <f t="shared" si="74"/>
        <v>189960</v>
      </c>
      <c r="G150" s="303">
        <f t="shared" si="72"/>
        <v>0</v>
      </c>
      <c r="H150" s="303">
        <f t="shared" si="73"/>
        <v>0</v>
      </c>
      <c r="I150" s="282"/>
      <c r="J150" s="303"/>
      <c r="K150" s="303"/>
      <c r="L150" s="282"/>
      <c r="M150" s="303"/>
      <c r="N150" s="303">
        <v>189960</v>
      </c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4">
        <v>5210</v>
      </c>
    </row>
    <row r="151" spans="1:34" s="305" customFormat="1" x14ac:dyDescent="0.25">
      <c r="A151" s="300"/>
      <c r="B151" s="300" t="s">
        <v>474</v>
      </c>
      <c r="C151" s="300"/>
      <c r="D151" s="301"/>
      <c r="E151" s="302"/>
      <c r="F151" s="303">
        <f t="shared" si="74"/>
        <v>0</v>
      </c>
      <c r="G151" s="303">
        <f t="shared" si="72"/>
        <v>0</v>
      </c>
      <c r="H151" s="303">
        <f t="shared" si="73"/>
        <v>0</v>
      </c>
      <c r="I151" s="282"/>
      <c r="J151" s="303"/>
      <c r="K151" s="303"/>
      <c r="L151" s="282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4"/>
    </row>
    <row r="152" spans="1:34" s="305" customFormat="1" ht="54.75" customHeight="1" x14ac:dyDescent="0.25">
      <c r="A152" s="300"/>
      <c r="B152" s="300" t="s">
        <v>933</v>
      </c>
      <c r="C152" s="301">
        <v>1610</v>
      </c>
      <c r="D152" s="301">
        <v>180</v>
      </c>
      <c r="E152" s="302"/>
      <c r="F152" s="303">
        <f t="shared" si="74"/>
        <v>6695700</v>
      </c>
      <c r="G152" s="303">
        <f t="shared" si="72"/>
        <v>0</v>
      </c>
      <c r="H152" s="303">
        <f t="shared" si="73"/>
        <v>0</v>
      </c>
      <c r="I152" s="282"/>
      <c r="J152" s="303"/>
      <c r="K152" s="303"/>
      <c r="L152" s="282"/>
      <c r="M152" s="303"/>
      <c r="N152" s="303">
        <f>N153+N154+N155</f>
        <v>6695700</v>
      </c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4">
        <v>2550</v>
      </c>
    </row>
    <row r="153" spans="1:34" s="305" customFormat="1" x14ac:dyDescent="0.25">
      <c r="A153" s="300"/>
      <c r="B153" s="300" t="s">
        <v>472</v>
      </c>
      <c r="C153" s="300"/>
      <c r="D153" s="301"/>
      <c r="E153" s="302"/>
      <c r="F153" s="303">
        <f t="shared" ref="F153" si="78">G153+N153+O153+P153</f>
        <v>6695700</v>
      </c>
      <c r="G153" s="303">
        <f t="shared" ref="G153" si="79">H153+K153</f>
        <v>0</v>
      </c>
      <c r="H153" s="303">
        <f t="shared" ref="H153" si="80">I153+J153</f>
        <v>0</v>
      </c>
      <c r="I153" s="282"/>
      <c r="J153" s="303"/>
      <c r="K153" s="303"/>
      <c r="L153" s="282"/>
      <c r="M153" s="303"/>
      <c r="N153" s="303">
        <f>AC87</f>
        <v>6695700</v>
      </c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4"/>
    </row>
    <row r="154" spans="1:34" s="305" customFormat="1" x14ac:dyDescent="0.25">
      <c r="A154" s="300"/>
      <c r="B154" s="300" t="s">
        <v>473</v>
      </c>
      <c r="C154" s="300"/>
      <c r="D154" s="301"/>
      <c r="E154" s="302"/>
      <c r="F154" s="303">
        <f t="shared" si="74"/>
        <v>0</v>
      </c>
      <c r="G154" s="303">
        <f t="shared" si="72"/>
        <v>0</v>
      </c>
      <c r="H154" s="303">
        <f t="shared" si="73"/>
        <v>0</v>
      </c>
      <c r="I154" s="282"/>
      <c r="J154" s="303"/>
      <c r="K154" s="303"/>
      <c r="L154" s="282"/>
      <c r="M154" s="303"/>
      <c r="N154" s="303">
        <v>0</v>
      </c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4"/>
    </row>
    <row r="155" spans="1:34" s="305" customFormat="1" x14ac:dyDescent="0.25">
      <c r="A155" s="300"/>
      <c r="B155" s="300" t="s">
        <v>474</v>
      </c>
      <c r="C155" s="300"/>
      <c r="D155" s="301"/>
      <c r="E155" s="302"/>
      <c r="F155" s="303">
        <f t="shared" si="74"/>
        <v>0</v>
      </c>
      <c r="G155" s="303">
        <f t="shared" si="72"/>
        <v>0</v>
      </c>
      <c r="H155" s="303">
        <f t="shared" si="73"/>
        <v>0</v>
      </c>
      <c r="I155" s="282"/>
      <c r="J155" s="303"/>
      <c r="K155" s="303"/>
      <c r="L155" s="282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4"/>
    </row>
    <row r="156" spans="1:34" s="305" customFormat="1" ht="57" customHeight="1" x14ac:dyDescent="0.25">
      <c r="A156" s="300"/>
      <c r="B156" s="300" t="s">
        <v>949</v>
      </c>
      <c r="C156" s="301">
        <v>1620</v>
      </c>
      <c r="D156" s="301">
        <v>180</v>
      </c>
      <c r="E156" s="302"/>
      <c r="F156" s="303">
        <f t="shared" si="74"/>
        <v>2353200</v>
      </c>
      <c r="G156" s="303">
        <f t="shared" si="72"/>
        <v>0</v>
      </c>
      <c r="H156" s="303">
        <f t="shared" si="73"/>
        <v>0</v>
      </c>
      <c r="I156" s="282"/>
      <c r="J156" s="303"/>
      <c r="K156" s="303"/>
      <c r="L156" s="282"/>
      <c r="M156" s="303"/>
      <c r="N156" s="303">
        <f>N157+N158</f>
        <v>2353200</v>
      </c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4"/>
    </row>
    <row r="157" spans="1:34" s="305" customFormat="1" x14ac:dyDescent="0.25">
      <c r="A157" s="300"/>
      <c r="B157" s="300" t="s">
        <v>472</v>
      </c>
      <c r="C157" s="300"/>
      <c r="D157" s="301"/>
      <c r="E157" s="302"/>
      <c r="F157" s="303">
        <f t="shared" ref="F157" si="81">G157+N157+O157+P157</f>
        <v>2117800</v>
      </c>
      <c r="G157" s="303">
        <f t="shared" ref="G157" si="82">H157+K157</f>
        <v>0</v>
      </c>
      <c r="H157" s="303">
        <f t="shared" ref="H157" si="83">I157+J157</f>
        <v>0</v>
      </c>
      <c r="I157" s="282"/>
      <c r="J157" s="303"/>
      <c r="K157" s="303"/>
      <c r="L157" s="282"/>
      <c r="M157" s="303"/>
      <c r="N157" s="303">
        <v>2117800</v>
      </c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4"/>
    </row>
    <row r="158" spans="1:34" s="305" customFormat="1" x14ac:dyDescent="0.25">
      <c r="A158" s="300"/>
      <c r="B158" s="300" t="s">
        <v>473</v>
      </c>
      <c r="C158" s="300"/>
      <c r="D158" s="301"/>
      <c r="E158" s="302"/>
      <c r="F158" s="303">
        <f t="shared" si="74"/>
        <v>235400</v>
      </c>
      <c r="G158" s="303">
        <f t="shared" si="72"/>
        <v>0</v>
      </c>
      <c r="H158" s="303">
        <f t="shared" si="73"/>
        <v>0</v>
      </c>
      <c r="I158" s="282"/>
      <c r="J158" s="303"/>
      <c r="K158" s="303"/>
      <c r="L158" s="282"/>
      <c r="M158" s="303"/>
      <c r="N158" s="303">
        <f>AD87-N157</f>
        <v>235400</v>
      </c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4"/>
    </row>
    <row r="159" spans="1:34" s="305" customFormat="1" x14ac:dyDescent="0.25">
      <c r="A159" s="300"/>
      <c r="B159" s="300" t="s">
        <v>474</v>
      </c>
      <c r="C159" s="300"/>
      <c r="D159" s="301"/>
      <c r="E159" s="302"/>
      <c r="F159" s="303">
        <f t="shared" si="74"/>
        <v>0</v>
      </c>
      <c r="G159" s="303">
        <f t="shared" si="72"/>
        <v>0</v>
      </c>
      <c r="H159" s="303">
        <f t="shared" si="73"/>
        <v>0</v>
      </c>
      <c r="I159" s="282"/>
      <c r="J159" s="303"/>
      <c r="K159" s="303"/>
      <c r="L159" s="282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4"/>
    </row>
    <row r="160" spans="1:34" s="305" customFormat="1" ht="63.75" x14ac:dyDescent="0.25">
      <c r="A160" s="300"/>
      <c r="B160" s="300" t="s">
        <v>958</v>
      </c>
      <c r="C160" s="301">
        <v>1630</v>
      </c>
      <c r="D160" s="301">
        <v>180</v>
      </c>
      <c r="E160" s="302"/>
      <c r="F160" s="303">
        <f t="shared" si="74"/>
        <v>76000</v>
      </c>
      <c r="G160" s="303">
        <f t="shared" si="72"/>
        <v>0</v>
      </c>
      <c r="H160" s="303">
        <f t="shared" si="73"/>
        <v>0</v>
      </c>
      <c r="I160" s="282"/>
      <c r="J160" s="303"/>
      <c r="K160" s="303"/>
      <c r="L160" s="282"/>
      <c r="M160" s="303"/>
      <c r="N160" s="303">
        <f>N161</f>
        <v>76000</v>
      </c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4"/>
    </row>
    <row r="161" spans="1:34" s="305" customFormat="1" x14ac:dyDescent="0.25">
      <c r="A161" s="300"/>
      <c r="B161" s="300" t="s">
        <v>473</v>
      </c>
      <c r="C161" s="300"/>
      <c r="D161" s="301"/>
      <c r="E161" s="302"/>
      <c r="F161" s="303">
        <f t="shared" si="74"/>
        <v>76000</v>
      </c>
      <c r="G161" s="303">
        <f t="shared" si="72"/>
        <v>0</v>
      </c>
      <c r="H161" s="303">
        <f t="shared" si="73"/>
        <v>0</v>
      </c>
      <c r="I161" s="282"/>
      <c r="J161" s="303"/>
      <c r="K161" s="303"/>
      <c r="L161" s="282"/>
      <c r="M161" s="303"/>
      <c r="N161" s="303">
        <f>W87</f>
        <v>76000</v>
      </c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4"/>
    </row>
    <row r="162" spans="1:34" s="305" customFormat="1" x14ac:dyDescent="0.25">
      <c r="A162" s="300"/>
      <c r="B162" s="300" t="s">
        <v>474</v>
      </c>
      <c r="C162" s="300"/>
      <c r="D162" s="301"/>
      <c r="E162" s="302"/>
      <c r="F162" s="303">
        <f t="shared" si="74"/>
        <v>0</v>
      </c>
      <c r="G162" s="303">
        <f t="shared" si="72"/>
        <v>0</v>
      </c>
      <c r="H162" s="303">
        <f t="shared" si="73"/>
        <v>0</v>
      </c>
      <c r="I162" s="282"/>
      <c r="J162" s="303"/>
      <c r="K162" s="303"/>
      <c r="L162" s="282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4"/>
    </row>
    <row r="163" spans="1:34" s="305" customFormat="1" ht="63.75" x14ac:dyDescent="0.25">
      <c r="A163" s="300"/>
      <c r="B163" s="300" t="s">
        <v>962</v>
      </c>
      <c r="C163" s="301">
        <v>1640</v>
      </c>
      <c r="D163" s="301">
        <v>180</v>
      </c>
      <c r="E163" s="302"/>
      <c r="F163" s="303">
        <f t="shared" si="74"/>
        <v>2188300</v>
      </c>
      <c r="G163" s="303">
        <f t="shared" si="72"/>
        <v>0</v>
      </c>
      <c r="H163" s="303">
        <f t="shared" si="73"/>
        <v>0</v>
      </c>
      <c r="I163" s="282"/>
      <c r="J163" s="303"/>
      <c r="K163" s="303"/>
      <c r="L163" s="282"/>
      <c r="M163" s="303"/>
      <c r="N163" s="303">
        <f>N164</f>
        <v>2188300</v>
      </c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4"/>
    </row>
    <row r="164" spans="1:34" s="305" customFormat="1" x14ac:dyDescent="0.25">
      <c r="A164" s="300"/>
      <c r="B164" s="300" t="s">
        <v>473</v>
      </c>
      <c r="C164" s="300"/>
      <c r="D164" s="301"/>
      <c r="E164" s="302"/>
      <c r="F164" s="303">
        <f t="shared" si="74"/>
        <v>2188300</v>
      </c>
      <c r="G164" s="303">
        <f t="shared" si="72"/>
        <v>0</v>
      </c>
      <c r="H164" s="303">
        <f t="shared" si="73"/>
        <v>0</v>
      </c>
      <c r="I164" s="282"/>
      <c r="J164" s="303"/>
      <c r="K164" s="303"/>
      <c r="L164" s="282"/>
      <c r="M164" s="303"/>
      <c r="N164" s="303">
        <v>2188300</v>
      </c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4"/>
    </row>
    <row r="165" spans="1:34" s="305" customFormat="1" x14ac:dyDescent="0.25">
      <c r="A165" s="300"/>
      <c r="B165" s="300" t="s">
        <v>474</v>
      </c>
      <c r="C165" s="300"/>
      <c r="D165" s="301"/>
      <c r="E165" s="302"/>
      <c r="F165" s="303">
        <f t="shared" si="74"/>
        <v>0</v>
      </c>
      <c r="G165" s="303">
        <f t="shared" si="72"/>
        <v>0</v>
      </c>
      <c r="H165" s="303">
        <f t="shared" si="73"/>
        <v>0</v>
      </c>
      <c r="I165" s="282"/>
      <c r="J165" s="303"/>
      <c r="K165" s="303"/>
      <c r="L165" s="282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4"/>
    </row>
    <row r="166" spans="1:34" s="305" customFormat="1" ht="102" x14ac:dyDescent="0.25">
      <c r="A166" s="300"/>
      <c r="B166" s="300" t="s">
        <v>964</v>
      </c>
      <c r="C166" s="301">
        <v>1650</v>
      </c>
      <c r="D166" s="301">
        <v>180</v>
      </c>
      <c r="E166" s="302"/>
      <c r="F166" s="303">
        <f t="shared" si="74"/>
        <v>867100</v>
      </c>
      <c r="G166" s="303">
        <f t="shared" si="72"/>
        <v>0</v>
      </c>
      <c r="H166" s="303">
        <f t="shared" si="73"/>
        <v>0</v>
      </c>
      <c r="I166" s="282"/>
      <c r="J166" s="303"/>
      <c r="K166" s="303"/>
      <c r="L166" s="282"/>
      <c r="M166" s="303"/>
      <c r="N166" s="303">
        <f>N167</f>
        <v>867100</v>
      </c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4"/>
    </row>
    <row r="167" spans="1:34" s="305" customFormat="1" x14ac:dyDescent="0.25">
      <c r="A167" s="300"/>
      <c r="B167" s="300" t="s">
        <v>473</v>
      </c>
      <c r="C167" s="300"/>
      <c r="D167" s="301"/>
      <c r="E167" s="302"/>
      <c r="F167" s="303">
        <f t="shared" si="74"/>
        <v>867100</v>
      </c>
      <c r="G167" s="303">
        <f t="shared" si="72"/>
        <v>0</v>
      </c>
      <c r="H167" s="303">
        <f t="shared" si="73"/>
        <v>0</v>
      </c>
      <c r="I167" s="282"/>
      <c r="J167" s="303"/>
      <c r="K167" s="303"/>
      <c r="L167" s="282"/>
      <c r="M167" s="303"/>
      <c r="N167" s="303">
        <f>AB87</f>
        <v>867100</v>
      </c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4"/>
    </row>
    <row r="168" spans="1:34" s="305" customFormat="1" x14ac:dyDescent="0.25">
      <c r="A168" s="300"/>
      <c r="B168" s="300" t="s">
        <v>472</v>
      </c>
      <c r="C168" s="300"/>
      <c r="D168" s="301"/>
      <c r="E168" s="302"/>
      <c r="F168" s="303">
        <f t="shared" si="74"/>
        <v>0</v>
      </c>
      <c r="G168" s="303">
        <f t="shared" si="72"/>
        <v>0</v>
      </c>
      <c r="H168" s="303">
        <f t="shared" si="73"/>
        <v>0</v>
      </c>
      <c r="I168" s="282"/>
      <c r="J168" s="303"/>
      <c r="K168" s="303"/>
      <c r="L168" s="282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4"/>
    </row>
    <row r="169" spans="1:34" s="305" customFormat="1" ht="63.75" x14ac:dyDescent="0.25">
      <c r="A169" s="300"/>
      <c r="B169" s="300" t="s">
        <v>962</v>
      </c>
      <c r="C169" s="301">
        <v>1660</v>
      </c>
      <c r="D169" s="301">
        <v>180</v>
      </c>
      <c r="E169" s="302"/>
      <c r="F169" s="303">
        <f t="shared" ref="F169:F171" si="84">G169+N169+O169+P169</f>
        <v>99400</v>
      </c>
      <c r="G169" s="303">
        <f t="shared" ref="G169:G171" si="85">H169+K169</f>
        <v>0</v>
      </c>
      <c r="H169" s="303">
        <f t="shared" ref="H169:H171" si="86">I169+J169</f>
        <v>0</v>
      </c>
      <c r="I169" s="282"/>
      <c r="J169" s="303"/>
      <c r="K169" s="303"/>
      <c r="L169" s="282"/>
      <c r="M169" s="303"/>
      <c r="N169" s="303">
        <f>N170</f>
        <v>99400</v>
      </c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4"/>
    </row>
    <row r="170" spans="1:34" s="305" customFormat="1" x14ac:dyDescent="0.25">
      <c r="A170" s="300"/>
      <c r="B170" s="300" t="s">
        <v>473</v>
      </c>
      <c r="C170" s="300"/>
      <c r="D170" s="301"/>
      <c r="E170" s="302"/>
      <c r="F170" s="303">
        <f t="shared" si="84"/>
        <v>99400</v>
      </c>
      <c r="G170" s="303">
        <f t="shared" si="85"/>
        <v>0</v>
      </c>
      <c r="H170" s="303">
        <f t="shared" si="86"/>
        <v>0</v>
      </c>
      <c r="I170" s="282"/>
      <c r="J170" s="303"/>
      <c r="K170" s="303"/>
      <c r="L170" s="282"/>
      <c r="M170" s="303"/>
      <c r="N170" s="303">
        <f>Y87</f>
        <v>99400</v>
      </c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4"/>
    </row>
    <row r="171" spans="1:34" s="305" customFormat="1" x14ac:dyDescent="0.25">
      <c r="A171" s="300"/>
      <c r="B171" s="300" t="s">
        <v>472</v>
      </c>
      <c r="C171" s="300"/>
      <c r="D171" s="301"/>
      <c r="E171" s="302"/>
      <c r="F171" s="303">
        <f t="shared" si="84"/>
        <v>0</v>
      </c>
      <c r="G171" s="303">
        <f t="shared" si="85"/>
        <v>0</v>
      </c>
      <c r="H171" s="303">
        <f t="shared" si="86"/>
        <v>0</v>
      </c>
      <c r="I171" s="282"/>
      <c r="J171" s="303"/>
      <c r="K171" s="303"/>
      <c r="L171" s="282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4"/>
    </row>
    <row r="172" spans="1:34" s="305" customFormat="1" x14ac:dyDescent="0.25">
      <c r="A172" s="301" t="s">
        <v>485</v>
      </c>
      <c r="B172" s="300" t="s">
        <v>486</v>
      </c>
      <c r="C172" s="301">
        <v>1980</v>
      </c>
      <c r="D172" s="301" t="s">
        <v>487</v>
      </c>
      <c r="E172" s="302"/>
      <c r="F172" s="303">
        <f t="shared" si="74"/>
        <v>0</v>
      </c>
      <c r="G172" s="303">
        <f t="shared" si="72"/>
        <v>0</v>
      </c>
      <c r="H172" s="303">
        <f t="shared" si="73"/>
        <v>0</v>
      </c>
      <c r="I172" s="282"/>
      <c r="J172" s="303"/>
      <c r="K172" s="303"/>
      <c r="L172" s="282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4"/>
    </row>
    <row r="173" spans="1:34" s="305" customFormat="1" x14ac:dyDescent="0.25">
      <c r="A173" s="300"/>
      <c r="B173" s="300" t="s">
        <v>215</v>
      </c>
      <c r="C173" s="300"/>
      <c r="D173" s="301"/>
      <c r="E173" s="302"/>
      <c r="F173" s="303">
        <f t="shared" si="74"/>
        <v>0</v>
      </c>
      <c r="G173" s="303">
        <f t="shared" si="72"/>
        <v>0</v>
      </c>
      <c r="H173" s="303">
        <f t="shared" si="73"/>
        <v>0</v>
      </c>
      <c r="I173" s="282"/>
      <c r="J173" s="303"/>
      <c r="K173" s="303"/>
      <c r="L173" s="282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4"/>
    </row>
    <row r="174" spans="1:34" s="305" customFormat="1" ht="38.25" x14ac:dyDescent="0.25">
      <c r="A174" s="300"/>
      <c r="B174" s="300" t="s">
        <v>273</v>
      </c>
      <c r="C174" s="301">
        <v>1981</v>
      </c>
      <c r="D174" s="301">
        <v>510</v>
      </c>
      <c r="E174" s="302"/>
      <c r="F174" s="303"/>
      <c r="G174" s="303"/>
      <c r="H174" s="303"/>
      <c r="I174" s="282"/>
      <c r="J174" s="303"/>
      <c r="K174" s="303"/>
      <c r="L174" s="282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4"/>
    </row>
    <row r="175" spans="1:34" s="305" customFormat="1" x14ac:dyDescent="0.25">
      <c r="A175" s="301" t="s">
        <v>488</v>
      </c>
      <c r="B175" s="300" t="s">
        <v>489</v>
      </c>
      <c r="C175" s="301">
        <v>1</v>
      </c>
      <c r="D175" s="301"/>
      <c r="E175" s="302"/>
      <c r="F175" s="303">
        <f>G175+N175+O175+P175</f>
        <v>4796426.38</v>
      </c>
      <c r="G175" s="303">
        <f>H175+K175</f>
        <v>688954.21</v>
      </c>
      <c r="H175" s="303">
        <f>I175+L175</f>
        <v>688954.21</v>
      </c>
      <c r="I175" s="282">
        <f>I87</f>
        <v>688954.21</v>
      </c>
      <c r="J175" s="303"/>
      <c r="K175" s="303"/>
      <c r="L175" s="282"/>
      <c r="M175" s="303"/>
      <c r="N175" s="303">
        <v>1203359.8899999999</v>
      </c>
      <c r="O175" s="303">
        <f>2904112.28-P175</f>
        <v>2859522.28</v>
      </c>
      <c r="P175" s="303">
        <v>44590</v>
      </c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4"/>
    </row>
    <row r="176" spans="1:34" s="305" customFormat="1" x14ac:dyDescent="0.25">
      <c r="A176" s="301" t="s">
        <v>490</v>
      </c>
      <c r="B176" s="300" t="s">
        <v>491</v>
      </c>
      <c r="C176" s="301">
        <v>3000</v>
      </c>
      <c r="D176" s="301">
        <v>100</v>
      </c>
      <c r="E176" s="302"/>
      <c r="F176" s="303"/>
      <c r="G176" s="303"/>
      <c r="H176" s="303"/>
      <c r="I176" s="282"/>
      <c r="J176" s="303"/>
      <c r="K176" s="303"/>
      <c r="L176" s="282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4"/>
    </row>
    <row r="177" spans="1:34" s="305" customFormat="1" x14ac:dyDescent="0.25">
      <c r="A177" s="300"/>
      <c r="B177" s="300" t="s">
        <v>492</v>
      </c>
      <c r="C177" s="300"/>
      <c r="D177" s="301"/>
      <c r="E177" s="302"/>
      <c r="F177" s="303"/>
      <c r="G177" s="303"/>
      <c r="H177" s="303"/>
      <c r="I177" s="282"/>
      <c r="J177" s="303"/>
      <c r="K177" s="303"/>
      <c r="L177" s="282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4"/>
    </row>
    <row r="178" spans="1:34" s="305" customFormat="1" x14ac:dyDescent="0.25">
      <c r="A178" s="300"/>
      <c r="B178" s="300" t="s">
        <v>493</v>
      </c>
      <c r="C178" s="301">
        <v>3010</v>
      </c>
      <c r="D178" s="301"/>
      <c r="E178" s="302"/>
      <c r="F178" s="303"/>
      <c r="G178" s="303"/>
      <c r="H178" s="303"/>
      <c r="I178" s="282"/>
      <c r="J178" s="303"/>
      <c r="K178" s="303"/>
      <c r="L178" s="282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4"/>
    </row>
    <row r="179" spans="1:34" s="305" customFormat="1" x14ac:dyDescent="0.25">
      <c r="A179" s="300"/>
      <c r="B179" s="300" t="s">
        <v>494</v>
      </c>
      <c r="C179" s="301">
        <v>3020</v>
      </c>
      <c r="D179" s="301"/>
      <c r="E179" s="302"/>
      <c r="F179" s="303"/>
      <c r="G179" s="303"/>
      <c r="H179" s="303"/>
      <c r="I179" s="282"/>
      <c r="J179" s="303"/>
      <c r="K179" s="303"/>
      <c r="L179" s="282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4"/>
    </row>
    <row r="180" spans="1:34" s="305" customFormat="1" x14ac:dyDescent="0.25">
      <c r="A180" s="300"/>
      <c r="B180" s="300" t="s">
        <v>495</v>
      </c>
      <c r="C180" s="301">
        <v>3030</v>
      </c>
      <c r="D180" s="301"/>
      <c r="E180" s="302"/>
      <c r="F180" s="303"/>
      <c r="G180" s="303"/>
      <c r="H180" s="303"/>
      <c r="I180" s="282"/>
      <c r="J180" s="303"/>
      <c r="K180" s="303"/>
      <c r="L180" s="282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4"/>
    </row>
    <row r="181" spans="1:34" s="305" customFormat="1" x14ac:dyDescent="0.25">
      <c r="A181" s="300"/>
      <c r="B181" s="300"/>
      <c r="C181" s="300"/>
      <c r="D181" s="301"/>
      <c r="E181" s="302"/>
      <c r="F181" s="303"/>
      <c r="G181" s="303"/>
      <c r="H181" s="303"/>
      <c r="I181" s="282"/>
      <c r="J181" s="303"/>
      <c r="K181" s="303"/>
      <c r="L181" s="282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4"/>
    </row>
    <row r="182" spans="1:34" s="305" customFormat="1" x14ac:dyDescent="0.25">
      <c r="A182" s="301" t="s">
        <v>496</v>
      </c>
      <c r="B182" s="300" t="s">
        <v>497</v>
      </c>
      <c r="C182" s="301">
        <v>4000</v>
      </c>
      <c r="D182" s="301"/>
      <c r="E182" s="302"/>
      <c r="F182" s="303">
        <f>F184</f>
        <v>384931.7699999999</v>
      </c>
      <c r="G182" s="303">
        <f t="shared" ref="G182:H182" si="87">G184</f>
        <v>0</v>
      </c>
      <c r="H182" s="303">
        <f t="shared" si="87"/>
        <v>0</v>
      </c>
      <c r="I182" s="282">
        <f>I184</f>
        <v>0</v>
      </c>
      <c r="J182" s="303"/>
      <c r="K182" s="303">
        <f>K184</f>
        <v>0</v>
      </c>
      <c r="L182" s="282">
        <f>L184</f>
        <v>0</v>
      </c>
      <c r="M182" s="303"/>
      <c r="N182" s="303">
        <f>N184</f>
        <v>384931.7699999999</v>
      </c>
      <c r="O182" s="303">
        <f t="shared" ref="O182:P182" si="88">O184</f>
        <v>0</v>
      </c>
      <c r="P182" s="303">
        <f t="shared" si="88"/>
        <v>0</v>
      </c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4"/>
    </row>
    <row r="183" spans="1:34" s="305" customFormat="1" x14ac:dyDescent="0.25">
      <c r="A183" s="300"/>
      <c r="B183" s="300" t="s">
        <v>372</v>
      </c>
      <c r="C183" s="300"/>
      <c r="D183" s="301"/>
      <c r="E183" s="302"/>
      <c r="F183" s="303"/>
      <c r="G183" s="303"/>
      <c r="H183" s="303"/>
      <c r="I183" s="282"/>
      <c r="J183" s="303"/>
      <c r="K183" s="303"/>
      <c r="L183" s="282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4"/>
    </row>
    <row r="184" spans="1:34" s="305" customFormat="1" x14ac:dyDescent="0.25">
      <c r="A184" s="300"/>
      <c r="B184" s="300" t="s">
        <v>316</v>
      </c>
      <c r="C184" s="301">
        <v>4010</v>
      </c>
      <c r="D184" s="301">
        <v>610</v>
      </c>
      <c r="E184" s="302"/>
      <c r="F184" s="303">
        <f>G184+N184+O184+P184</f>
        <v>384931.7699999999</v>
      </c>
      <c r="G184" s="303"/>
      <c r="H184" s="303"/>
      <c r="I184" s="282"/>
      <c r="J184" s="303"/>
      <c r="K184" s="303"/>
      <c r="L184" s="282"/>
      <c r="M184" s="303"/>
      <c r="N184" s="303">
        <f>N175-818428.12</f>
        <v>384931.7699999999</v>
      </c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4"/>
    </row>
    <row r="185" spans="1:34" s="313" customFormat="1" x14ac:dyDescent="0.25">
      <c r="A185" s="308" t="s">
        <v>498</v>
      </c>
      <c r="B185" s="309" t="s">
        <v>499</v>
      </c>
      <c r="C185" s="308">
        <v>2</v>
      </c>
      <c r="D185" s="308"/>
      <c r="E185" s="310"/>
      <c r="F185" s="311">
        <f t="shared" ref="F185" si="89">G185+N185+O185+P185</f>
        <v>0</v>
      </c>
      <c r="G185" s="311">
        <f>H185+O185+P185+AH185</f>
        <v>0</v>
      </c>
      <c r="H185" s="311">
        <f t="shared" ref="H185" si="90">I185+L185</f>
        <v>0</v>
      </c>
      <c r="I185" s="282">
        <f t="shared" ref="I185" si="91">J185+K185</f>
        <v>0</v>
      </c>
      <c r="J185" s="311"/>
      <c r="K185" s="311"/>
      <c r="L185" s="282">
        <f t="shared" ref="L185" si="92">M185+N185</f>
        <v>0</v>
      </c>
      <c r="M185" s="311"/>
      <c r="N185" s="311"/>
      <c r="O185" s="311">
        <v>0</v>
      </c>
      <c r="P185" s="311">
        <v>0</v>
      </c>
      <c r="Q185" s="311"/>
      <c r="R185" s="311"/>
      <c r="S185" s="311"/>
      <c r="T185" s="311"/>
      <c r="U185" s="311"/>
      <c r="V185" s="311"/>
      <c r="W185" s="311"/>
      <c r="X185" s="311"/>
      <c r="Y185" s="311"/>
      <c r="Z185" s="311"/>
      <c r="AA185" s="311"/>
      <c r="AB185" s="311"/>
      <c r="AC185" s="311"/>
      <c r="AD185" s="311"/>
      <c r="AE185" s="311"/>
      <c r="AF185" s="311"/>
      <c r="AG185" s="311"/>
      <c r="AH185" s="312"/>
    </row>
  </sheetData>
  <mergeCells count="18">
    <mergeCell ref="Q5:AG5"/>
    <mergeCell ref="H5:H6"/>
    <mergeCell ref="I5:J5"/>
    <mergeCell ref="K5:K6"/>
    <mergeCell ref="L5:M5"/>
    <mergeCell ref="N5:N6"/>
    <mergeCell ref="O5:O6"/>
    <mergeCell ref="A1:P1"/>
    <mergeCell ref="A3:A6"/>
    <mergeCell ref="B3:B6"/>
    <mergeCell ref="C3:C6"/>
    <mergeCell ref="D3:D6"/>
    <mergeCell ref="E3:E6"/>
    <mergeCell ref="F3:P3"/>
    <mergeCell ref="F4:F6"/>
    <mergeCell ref="G4:P4"/>
    <mergeCell ref="G5:G6"/>
    <mergeCell ref="P5:P6"/>
  </mergeCells>
  <phoneticPr fontId="54" type="noConversion"/>
  <hyperlinks>
    <hyperlink ref="B108" r:id="rId1" display="consultantplus://offline/ref=B8AE1035D0937AEEB77C3FBFF6CDC688C588254FBD6896A3CFC51150518F457BB7E7D169A15B06272B44A970D18E71FFFF2514E073F56077REEAN" xr:uid="{00000000-0004-0000-0300-000000000000}"/>
  </hyperlinks>
  <pageMargins left="0" right="0" top="0.74803149606299213" bottom="0" header="0.31496062992125984" footer="0.31496062992125984"/>
  <pageSetup paperSize="9" scale="69" fitToHeight="0" orientation="landscape" verticalDpi="4294967295" r:id="rId2"/>
  <rowBreaks count="3" manualBreakCount="3">
    <brk id="49" max="15" man="1"/>
    <brk id="91" max="15" man="1"/>
    <brk id="135" max="1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DF121"/>
  <sheetViews>
    <sheetView view="pageBreakPreview" topLeftCell="A97" zoomScaleNormal="100" zoomScaleSheetLayoutView="100" workbookViewId="0">
      <selection activeCell="CJ113" sqref="CJ113:DA113"/>
    </sheetView>
  </sheetViews>
  <sheetFormatPr defaultColWidth="0.85546875" defaultRowHeight="12" customHeight="1" x14ac:dyDescent="0.25"/>
  <cols>
    <col min="1" max="107" width="0.85546875" style="314"/>
    <col min="108" max="108" width="3.5703125" style="314" bestFit="1" customWidth="1"/>
    <col min="109" max="109" width="12.28515625" style="202" customWidth="1"/>
    <col min="110" max="110" width="25.85546875" style="314" customWidth="1"/>
    <col min="111" max="115" width="0.85546875" style="314"/>
    <col min="116" max="116" width="1.85546875" style="314" bestFit="1" customWidth="1"/>
    <col min="117" max="363" width="0.85546875" style="314"/>
    <col min="364" max="364" width="3.5703125" style="314" bestFit="1" customWidth="1"/>
    <col min="365" max="365" width="12.28515625" style="314" customWidth="1"/>
    <col min="366" max="366" width="25.85546875" style="314" customWidth="1"/>
    <col min="367" max="371" width="0.85546875" style="314"/>
    <col min="372" max="372" width="1.85546875" style="314" bestFit="1" customWidth="1"/>
    <col min="373" max="619" width="0.85546875" style="314"/>
    <col min="620" max="620" width="3.5703125" style="314" bestFit="1" customWidth="1"/>
    <col min="621" max="621" width="12.28515625" style="314" customWidth="1"/>
    <col min="622" max="622" width="25.85546875" style="314" customWidth="1"/>
    <col min="623" max="627" width="0.85546875" style="314"/>
    <col min="628" max="628" width="1.85546875" style="314" bestFit="1" customWidth="1"/>
    <col min="629" max="875" width="0.85546875" style="314"/>
    <col min="876" max="876" width="3.5703125" style="314" bestFit="1" customWidth="1"/>
    <col min="877" max="877" width="12.28515625" style="314" customWidth="1"/>
    <col min="878" max="878" width="25.85546875" style="314" customWidth="1"/>
    <col min="879" max="883" width="0.85546875" style="314"/>
    <col min="884" max="884" width="1.85546875" style="314" bestFit="1" customWidth="1"/>
    <col min="885" max="1131" width="0.85546875" style="314"/>
    <col min="1132" max="1132" width="3.5703125" style="314" bestFit="1" customWidth="1"/>
    <col min="1133" max="1133" width="12.28515625" style="314" customWidth="1"/>
    <col min="1134" max="1134" width="25.85546875" style="314" customWidth="1"/>
    <col min="1135" max="1139" width="0.85546875" style="314"/>
    <col min="1140" max="1140" width="1.85546875" style="314" bestFit="1" customWidth="1"/>
    <col min="1141" max="1387" width="0.85546875" style="314"/>
    <col min="1388" max="1388" width="3.5703125" style="314" bestFit="1" customWidth="1"/>
    <col min="1389" max="1389" width="12.28515625" style="314" customWidth="1"/>
    <col min="1390" max="1390" width="25.85546875" style="314" customWidth="1"/>
    <col min="1391" max="1395" width="0.85546875" style="314"/>
    <col min="1396" max="1396" width="1.85546875" style="314" bestFit="1" customWidth="1"/>
    <col min="1397" max="1643" width="0.85546875" style="314"/>
    <col min="1644" max="1644" width="3.5703125" style="314" bestFit="1" customWidth="1"/>
    <col min="1645" max="1645" width="12.28515625" style="314" customWidth="1"/>
    <col min="1646" max="1646" width="25.85546875" style="314" customWidth="1"/>
    <col min="1647" max="1651" width="0.85546875" style="314"/>
    <col min="1652" max="1652" width="1.85546875" style="314" bestFit="1" customWidth="1"/>
    <col min="1653" max="1899" width="0.85546875" style="314"/>
    <col min="1900" max="1900" width="3.5703125" style="314" bestFit="1" customWidth="1"/>
    <col min="1901" max="1901" width="12.28515625" style="314" customWidth="1"/>
    <col min="1902" max="1902" width="25.85546875" style="314" customWidth="1"/>
    <col min="1903" max="1907" width="0.85546875" style="314"/>
    <col min="1908" max="1908" width="1.85546875" style="314" bestFit="1" customWidth="1"/>
    <col min="1909" max="2155" width="0.85546875" style="314"/>
    <col min="2156" max="2156" width="3.5703125" style="314" bestFit="1" customWidth="1"/>
    <col min="2157" max="2157" width="12.28515625" style="314" customWidth="1"/>
    <col min="2158" max="2158" width="25.85546875" style="314" customWidth="1"/>
    <col min="2159" max="2163" width="0.85546875" style="314"/>
    <col min="2164" max="2164" width="1.85546875" style="314" bestFit="1" customWidth="1"/>
    <col min="2165" max="2411" width="0.85546875" style="314"/>
    <col min="2412" max="2412" width="3.5703125" style="314" bestFit="1" customWidth="1"/>
    <col min="2413" max="2413" width="12.28515625" style="314" customWidth="1"/>
    <col min="2414" max="2414" width="25.85546875" style="314" customWidth="1"/>
    <col min="2415" max="2419" width="0.85546875" style="314"/>
    <col min="2420" max="2420" width="1.85546875" style="314" bestFit="1" customWidth="1"/>
    <col min="2421" max="2667" width="0.85546875" style="314"/>
    <col min="2668" max="2668" width="3.5703125" style="314" bestFit="1" customWidth="1"/>
    <col min="2669" max="2669" width="12.28515625" style="314" customWidth="1"/>
    <col min="2670" max="2670" width="25.85546875" style="314" customWidth="1"/>
    <col min="2671" max="2675" width="0.85546875" style="314"/>
    <col min="2676" max="2676" width="1.85546875" style="314" bestFit="1" customWidth="1"/>
    <col min="2677" max="2923" width="0.85546875" style="314"/>
    <col min="2924" max="2924" width="3.5703125" style="314" bestFit="1" customWidth="1"/>
    <col min="2925" max="2925" width="12.28515625" style="314" customWidth="1"/>
    <col min="2926" max="2926" width="25.85546875" style="314" customWidth="1"/>
    <col min="2927" max="2931" width="0.85546875" style="314"/>
    <col min="2932" max="2932" width="1.85546875" style="314" bestFit="1" customWidth="1"/>
    <col min="2933" max="3179" width="0.85546875" style="314"/>
    <col min="3180" max="3180" width="3.5703125" style="314" bestFit="1" customWidth="1"/>
    <col min="3181" max="3181" width="12.28515625" style="314" customWidth="1"/>
    <col min="3182" max="3182" width="25.85546875" style="314" customWidth="1"/>
    <col min="3183" max="3187" width="0.85546875" style="314"/>
    <col min="3188" max="3188" width="1.85546875" style="314" bestFit="1" customWidth="1"/>
    <col min="3189" max="3435" width="0.85546875" style="314"/>
    <col min="3436" max="3436" width="3.5703125" style="314" bestFit="1" customWidth="1"/>
    <col min="3437" max="3437" width="12.28515625" style="314" customWidth="1"/>
    <col min="3438" max="3438" width="25.85546875" style="314" customWidth="1"/>
    <col min="3439" max="3443" width="0.85546875" style="314"/>
    <col min="3444" max="3444" width="1.85546875" style="314" bestFit="1" customWidth="1"/>
    <col min="3445" max="3691" width="0.85546875" style="314"/>
    <col min="3692" max="3692" width="3.5703125" style="314" bestFit="1" customWidth="1"/>
    <col min="3693" max="3693" width="12.28515625" style="314" customWidth="1"/>
    <col min="3694" max="3694" width="25.85546875" style="314" customWidth="1"/>
    <col min="3695" max="3699" width="0.85546875" style="314"/>
    <col min="3700" max="3700" width="1.85546875" style="314" bestFit="1" customWidth="1"/>
    <col min="3701" max="3947" width="0.85546875" style="314"/>
    <col min="3948" max="3948" width="3.5703125" style="314" bestFit="1" customWidth="1"/>
    <col min="3949" max="3949" width="12.28515625" style="314" customWidth="1"/>
    <col min="3950" max="3950" width="25.85546875" style="314" customWidth="1"/>
    <col min="3951" max="3955" width="0.85546875" style="314"/>
    <col min="3956" max="3956" width="1.85546875" style="314" bestFit="1" customWidth="1"/>
    <col min="3957" max="4203" width="0.85546875" style="314"/>
    <col min="4204" max="4204" width="3.5703125" style="314" bestFit="1" customWidth="1"/>
    <col min="4205" max="4205" width="12.28515625" style="314" customWidth="1"/>
    <col min="4206" max="4206" width="25.85546875" style="314" customWidth="1"/>
    <col min="4207" max="4211" width="0.85546875" style="314"/>
    <col min="4212" max="4212" width="1.85546875" style="314" bestFit="1" customWidth="1"/>
    <col min="4213" max="4459" width="0.85546875" style="314"/>
    <col min="4460" max="4460" width="3.5703125" style="314" bestFit="1" customWidth="1"/>
    <col min="4461" max="4461" width="12.28515625" style="314" customWidth="1"/>
    <col min="4462" max="4462" width="25.85546875" style="314" customWidth="1"/>
    <col min="4463" max="4467" width="0.85546875" style="314"/>
    <col min="4468" max="4468" width="1.85546875" style="314" bestFit="1" customWidth="1"/>
    <col min="4469" max="4715" width="0.85546875" style="314"/>
    <col min="4716" max="4716" width="3.5703125" style="314" bestFit="1" customWidth="1"/>
    <col min="4717" max="4717" width="12.28515625" style="314" customWidth="1"/>
    <col min="4718" max="4718" width="25.85546875" style="314" customWidth="1"/>
    <col min="4719" max="4723" width="0.85546875" style="314"/>
    <col min="4724" max="4724" width="1.85546875" style="314" bestFit="1" customWidth="1"/>
    <col min="4725" max="4971" width="0.85546875" style="314"/>
    <col min="4972" max="4972" width="3.5703125" style="314" bestFit="1" customWidth="1"/>
    <col min="4973" max="4973" width="12.28515625" style="314" customWidth="1"/>
    <col min="4974" max="4974" width="25.85546875" style="314" customWidth="1"/>
    <col min="4975" max="4979" width="0.85546875" style="314"/>
    <col min="4980" max="4980" width="1.85546875" style="314" bestFit="1" customWidth="1"/>
    <col min="4981" max="5227" width="0.85546875" style="314"/>
    <col min="5228" max="5228" width="3.5703125" style="314" bestFit="1" customWidth="1"/>
    <col min="5229" max="5229" width="12.28515625" style="314" customWidth="1"/>
    <col min="5230" max="5230" width="25.85546875" style="314" customWidth="1"/>
    <col min="5231" max="5235" width="0.85546875" style="314"/>
    <col min="5236" max="5236" width="1.85546875" style="314" bestFit="1" customWidth="1"/>
    <col min="5237" max="5483" width="0.85546875" style="314"/>
    <col min="5484" max="5484" width="3.5703125" style="314" bestFit="1" customWidth="1"/>
    <col min="5485" max="5485" width="12.28515625" style="314" customWidth="1"/>
    <col min="5486" max="5486" width="25.85546875" style="314" customWidth="1"/>
    <col min="5487" max="5491" width="0.85546875" style="314"/>
    <col min="5492" max="5492" width="1.85546875" style="314" bestFit="1" customWidth="1"/>
    <col min="5493" max="5739" width="0.85546875" style="314"/>
    <col min="5740" max="5740" width="3.5703125" style="314" bestFit="1" customWidth="1"/>
    <col min="5741" max="5741" width="12.28515625" style="314" customWidth="1"/>
    <col min="5742" max="5742" width="25.85546875" style="314" customWidth="1"/>
    <col min="5743" max="5747" width="0.85546875" style="314"/>
    <col min="5748" max="5748" width="1.85546875" style="314" bestFit="1" customWidth="1"/>
    <col min="5749" max="5995" width="0.85546875" style="314"/>
    <col min="5996" max="5996" width="3.5703125" style="314" bestFit="1" customWidth="1"/>
    <col min="5997" max="5997" width="12.28515625" style="314" customWidth="1"/>
    <col min="5998" max="5998" width="25.85546875" style="314" customWidth="1"/>
    <col min="5999" max="6003" width="0.85546875" style="314"/>
    <col min="6004" max="6004" width="1.85546875" style="314" bestFit="1" customWidth="1"/>
    <col min="6005" max="6251" width="0.85546875" style="314"/>
    <col min="6252" max="6252" width="3.5703125" style="314" bestFit="1" customWidth="1"/>
    <col min="6253" max="6253" width="12.28515625" style="314" customWidth="1"/>
    <col min="6254" max="6254" width="25.85546875" style="314" customWidth="1"/>
    <col min="6255" max="6259" width="0.85546875" style="314"/>
    <col min="6260" max="6260" width="1.85546875" style="314" bestFit="1" customWidth="1"/>
    <col min="6261" max="6507" width="0.85546875" style="314"/>
    <col min="6508" max="6508" width="3.5703125" style="314" bestFit="1" customWidth="1"/>
    <col min="6509" max="6509" width="12.28515625" style="314" customWidth="1"/>
    <col min="6510" max="6510" width="25.85546875" style="314" customWidth="1"/>
    <col min="6511" max="6515" width="0.85546875" style="314"/>
    <col min="6516" max="6516" width="1.85546875" style="314" bestFit="1" customWidth="1"/>
    <col min="6517" max="6763" width="0.85546875" style="314"/>
    <col min="6764" max="6764" width="3.5703125" style="314" bestFit="1" customWidth="1"/>
    <col min="6765" max="6765" width="12.28515625" style="314" customWidth="1"/>
    <col min="6766" max="6766" width="25.85546875" style="314" customWidth="1"/>
    <col min="6767" max="6771" width="0.85546875" style="314"/>
    <col min="6772" max="6772" width="1.85546875" style="314" bestFit="1" customWidth="1"/>
    <col min="6773" max="7019" width="0.85546875" style="314"/>
    <col min="7020" max="7020" width="3.5703125" style="314" bestFit="1" customWidth="1"/>
    <col min="7021" max="7021" width="12.28515625" style="314" customWidth="1"/>
    <col min="7022" max="7022" width="25.85546875" style="314" customWidth="1"/>
    <col min="7023" max="7027" width="0.85546875" style="314"/>
    <col min="7028" max="7028" width="1.85546875" style="314" bestFit="1" customWidth="1"/>
    <col min="7029" max="7275" width="0.85546875" style="314"/>
    <col min="7276" max="7276" width="3.5703125" style="314" bestFit="1" customWidth="1"/>
    <col min="7277" max="7277" width="12.28515625" style="314" customWidth="1"/>
    <col min="7278" max="7278" width="25.85546875" style="314" customWidth="1"/>
    <col min="7279" max="7283" width="0.85546875" style="314"/>
    <col min="7284" max="7284" width="1.85546875" style="314" bestFit="1" customWidth="1"/>
    <col min="7285" max="7531" width="0.85546875" style="314"/>
    <col min="7532" max="7532" width="3.5703125" style="314" bestFit="1" customWidth="1"/>
    <col min="7533" max="7533" width="12.28515625" style="314" customWidth="1"/>
    <col min="7534" max="7534" width="25.85546875" style="314" customWidth="1"/>
    <col min="7535" max="7539" width="0.85546875" style="314"/>
    <col min="7540" max="7540" width="1.85546875" style="314" bestFit="1" customWidth="1"/>
    <col min="7541" max="7787" width="0.85546875" style="314"/>
    <col min="7788" max="7788" width="3.5703125" style="314" bestFit="1" customWidth="1"/>
    <col min="7789" max="7789" width="12.28515625" style="314" customWidth="1"/>
    <col min="7790" max="7790" width="25.85546875" style="314" customWidth="1"/>
    <col min="7791" max="7795" width="0.85546875" style="314"/>
    <col min="7796" max="7796" width="1.85546875" style="314" bestFit="1" customWidth="1"/>
    <col min="7797" max="8043" width="0.85546875" style="314"/>
    <col min="8044" max="8044" width="3.5703125" style="314" bestFit="1" customWidth="1"/>
    <col min="8045" max="8045" width="12.28515625" style="314" customWidth="1"/>
    <col min="8046" max="8046" width="25.85546875" style="314" customWidth="1"/>
    <col min="8047" max="8051" width="0.85546875" style="314"/>
    <col min="8052" max="8052" width="1.85546875" style="314" bestFit="1" customWidth="1"/>
    <col min="8053" max="8299" width="0.85546875" style="314"/>
    <col min="8300" max="8300" width="3.5703125" style="314" bestFit="1" customWidth="1"/>
    <col min="8301" max="8301" width="12.28515625" style="314" customWidth="1"/>
    <col min="8302" max="8302" width="25.85546875" style="314" customWidth="1"/>
    <col min="8303" max="8307" width="0.85546875" style="314"/>
    <col min="8308" max="8308" width="1.85546875" style="314" bestFit="1" customWidth="1"/>
    <col min="8309" max="8555" width="0.85546875" style="314"/>
    <col min="8556" max="8556" width="3.5703125" style="314" bestFit="1" customWidth="1"/>
    <col min="8557" max="8557" width="12.28515625" style="314" customWidth="1"/>
    <col min="8558" max="8558" width="25.85546875" style="314" customWidth="1"/>
    <col min="8559" max="8563" width="0.85546875" style="314"/>
    <col min="8564" max="8564" width="1.85546875" style="314" bestFit="1" customWidth="1"/>
    <col min="8565" max="8811" width="0.85546875" style="314"/>
    <col min="8812" max="8812" width="3.5703125" style="314" bestFit="1" customWidth="1"/>
    <col min="8813" max="8813" width="12.28515625" style="314" customWidth="1"/>
    <col min="8814" max="8814" width="25.85546875" style="314" customWidth="1"/>
    <col min="8815" max="8819" width="0.85546875" style="314"/>
    <col min="8820" max="8820" width="1.85546875" style="314" bestFit="1" customWidth="1"/>
    <col min="8821" max="9067" width="0.85546875" style="314"/>
    <col min="9068" max="9068" width="3.5703125" style="314" bestFit="1" customWidth="1"/>
    <col min="9069" max="9069" width="12.28515625" style="314" customWidth="1"/>
    <col min="9070" max="9070" width="25.85546875" style="314" customWidth="1"/>
    <col min="9071" max="9075" width="0.85546875" style="314"/>
    <col min="9076" max="9076" width="1.85546875" style="314" bestFit="1" customWidth="1"/>
    <col min="9077" max="9323" width="0.85546875" style="314"/>
    <col min="9324" max="9324" width="3.5703125" style="314" bestFit="1" customWidth="1"/>
    <col min="9325" max="9325" width="12.28515625" style="314" customWidth="1"/>
    <col min="9326" max="9326" width="25.85546875" style="314" customWidth="1"/>
    <col min="9327" max="9331" width="0.85546875" style="314"/>
    <col min="9332" max="9332" width="1.85546875" style="314" bestFit="1" customWidth="1"/>
    <col min="9333" max="9579" width="0.85546875" style="314"/>
    <col min="9580" max="9580" width="3.5703125" style="314" bestFit="1" customWidth="1"/>
    <col min="9581" max="9581" width="12.28515625" style="314" customWidth="1"/>
    <col min="9582" max="9582" width="25.85546875" style="314" customWidth="1"/>
    <col min="9583" max="9587" width="0.85546875" style="314"/>
    <col min="9588" max="9588" width="1.85546875" style="314" bestFit="1" customWidth="1"/>
    <col min="9589" max="9835" width="0.85546875" style="314"/>
    <col min="9836" max="9836" width="3.5703125" style="314" bestFit="1" customWidth="1"/>
    <col min="9837" max="9837" width="12.28515625" style="314" customWidth="1"/>
    <col min="9838" max="9838" width="25.85546875" style="314" customWidth="1"/>
    <col min="9839" max="9843" width="0.85546875" style="314"/>
    <col min="9844" max="9844" width="1.85546875" style="314" bestFit="1" customWidth="1"/>
    <col min="9845" max="10091" width="0.85546875" style="314"/>
    <col min="10092" max="10092" width="3.5703125" style="314" bestFit="1" customWidth="1"/>
    <col min="10093" max="10093" width="12.28515625" style="314" customWidth="1"/>
    <col min="10094" max="10094" width="25.85546875" style="314" customWidth="1"/>
    <col min="10095" max="10099" width="0.85546875" style="314"/>
    <col min="10100" max="10100" width="1.85546875" style="314" bestFit="1" customWidth="1"/>
    <col min="10101" max="10347" width="0.85546875" style="314"/>
    <col min="10348" max="10348" width="3.5703125" style="314" bestFit="1" customWidth="1"/>
    <col min="10349" max="10349" width="12.28515625" style="314" customWidth="1"/>
    <col min="10350" max="10350" width="25.85546875" style="314" customWidth="1"/>
    <col min="10351" max="10355" width="0.85546875" style="314"/>
    <col min="10356" max="10356" width="1.85546875" style="314" bestFit="1" customWidth="1"/>
    <col min="10357" max="10603" width="0.85546875" style="314"/>
    <col min="10604" max="10604" width="3.5703125" style="314" bestFit="1" customWidth="1"/>
    <col min="10605" max="10605" width="12.28515625" style="314" customWidth="1"/>
    <col min="10606" max="10606" width="25.85546875" style="314" customWidth="1"/>
    <col min="10607" max="10611" width="0.85546875" style="314"/>
    <col min="10612" max="10612" width="1.85546875" style="314" bestFit="1" customWidth="1"/>
    <col min="10613" max="10859" width="0.85546875" style="314"/>
    <col min="10860" max="10860" width="3.5703125" style="314" bestFit="1" customWidth="1"/>
    <col min="10861" max="10861" width="12.28515625" style="314" customWidth="1"/>
    <col min="10862" max="10862" width="25.85546875" style="314" customWidth="1"/>
    <col min="10863" max="10867" width="0.85546875" style="314"/>
    <col min="10868" max="10868" width="1.85546875" style="314" bestFit="1" customWidth="1"/>
    <col min="10869" max="11115" width="0.85546875" style="314"/>
    <col min="11116" max="11116" width="3.5703125" style="314" bestFit="1" customWidth="1"/>
    <col min="11117" max="11117" width="12.28515625" style="314" customWidth="1"/>
    <col min="11118" max="11118" width="25.85546875" style="314" customWidth="1"/>
    <col min="11119" max="11123" width="0.85546875" style="314"/>
    <col min="11124" max="11124" width="1.85546875" style="314" bestFit="1" customWidth="1"/>
    <col min="11125" max="11371" width="0.85546875" style="314"/>
    <col min="11372" max="11372" width="3.5703125" style="314" bestFit="1" customWidth="1"/>
    <col min="11373" max="11373" width="12.28515625" style="314" customWidth="1"/>
    <col min="11374" max="11374" width="25.85546875" style="314" customWidth="1"/>
    <col min="11375" max="11379" width="0.85546875" style="314"/>
    <col min="11380" max="11380" width="1.85546875" style="314" bestFit="1" customWidth="1"/>
    <col min="11381" max="11627" width="0.85546875" style="314"/>
    <col min="11628" max="11628" width="3.5703125" style="314" bestFit="1" customWidth="1"/>
    <col min="11629" max="11629" width="12.28515625" style="314" customWidth="1"/>
    <col min="11630" max="11630" width="25.85546875" style="314" customWidth="1"/>
    <col min="11631" max="11635" width="0.85546875" style="314"/>
    <col min="11636" max="11636" width="1.85546875" style="314" bestFit="1" customWidth="1"/>
    <col min="11637" max="11883" width="0.85546875" style="314"/>
    <col min="11884" max="11884" width="3.5703125" style="314" bestFit="1" customWidth="1"/>
    <col min="11885" max="11885" width="12.28515625" style="314" customWidth="1"/>
    <col min="11886" max="11886" width="25.85546875" style="314" customWidth="1"/>
    <col min="11887" max="11891" width="0.85546875" style="314"/>
    <col min="11892" max="11892" width="1.85546875" style="314" bestFit="1" customWidth="1"/>
    <col min="11893" max="12139" width="0.85546875" style="314"/>
    <col min="12140" max="12140" width="3.5703125" style="314" bestFit="1" customWidth="1"/>
    <col min="12141" max="12141" width="12.28515625" style="314" customWidth="1"/>
    <col min="12142" max="12142" width="25.85546875" style="314" customWidth="1"/>
    <col min="12143" max="12147" width="0.85546875" style="314"/>
    <col min="12148" max="12148" width="1.85546875" style="314" bestFit="1" customWidth="1"/>
    <col min="12149" max="12395" width="0.85546875" style="314"/>
    <col min="12396" max="12396" width="3.5703125" style="314" bestFit="1" customWidth="1"/>
    <col min="12397" max="12397" width="12.28515625" style="314" customWidth="1"/>
    <col min="12398" max="12398" width="25.85546875" style="314" customWidth="1"/>
    <col min="12399" max="12403" width="0.85546875" style="314"/>
    <col min="12404" max="12404" width="1.85546875" style="314" bestFit="1" customWidth="1"/>
    <col min="12405" max="12651" width="0.85546875" style="314"/>
    <col min="12652" max="12652" width="3.5703125" style="314" bestFit="1" customWidth="1"/>
    <col min="12653" max="12653" width="12.28515625" style="314" customWidth="1"/>
    <col min="12654" max="12654" width="25.85546875" style="314" customWidth="1"/>
    <col min="12655" max="12659" width="0.85546875" style="314"/>
    <col min="12660" max="12660" width="1.85546875" style="314" bestFit="1" customWidth="1"/>
    <col min="12661" max="12907" width="0.85546875" style="314"/>
    <col min="12908" max="12908" width="3.5703125" style="314" bestFit="1" customWidth="1"/>
    <col min="12909" max="12909" width="12.28515625" style="314" customWidth="1"/>
    <col min="12910" max="12910" width="25.85546875" style="314" customWidth="1"/>
    <col min="12911" max="12915" width="0.85546875" style="314"/>
    <col min="12916" max="12916" width="1.85546875" style="314" bestFit="1" customWidth="1"/>
    <col min="12917" max="13163" width="0.85546875" style="314"/>
    <col min="13164" max="13164" width="3.5703125" style="314" bestFit="1" customWidth="1"/>
    <col min="13165" max="13165" width="12.28515625" style="314" customWidth="1"/>
    <col min="13166" max="13166" width="25.85546875" style="314" customWidth="1"/>
    <col min="13167" max="13171" width="0.85546875" style="314"/>
    <col min="13172" max="13172" width="1.85546875" style="314" bestFit="1" customWidth="1"/>
    <col min="13173" max="13419" width="0.85546875" style="314"/>
    <col min="13420" max="13420" width="3.5703125" style="314" bestFit="1" customWidth="1"/>
    <col min="13421" max="13421" width="12.28515625" style="314" customWidth="1"/>
    <col min="13422" max="13422" width="25.85546875" style="314" customWidth="1"/>
    <col min="13423" max="13427" width="0.85546875" style="314"/>
    <col min="13428" max="13428" width="1.85546875" style="314" bestFit="1" customWidth="1"/>
    <col min="13429" max="13675" width="0.85546875" style="314"/>
    <col min="13676" max="13676" width="3.5703125" style="314" bestFit="1" customWidth="1"/>
    <col min="13677" max="13677" width="12.28515625" style="314" customWidth="1"/>
    <col min="13678" max="13678" width="25.85546875" style="314" customWidth="1"/>
    <col min="13679" max="13683" width="0.85546875" style="314"/>
    <col min="13684" max="13684" width="1.85546875" style="314" bestFit="1" customWidth="1"/>
    <col min="13685" max="13931" width="0.85546875" style="314"/>
    <col min="13932" max="13932" width="3.5703125" style="314" bestFit="1" customWidth="1"/>
    <col min="13933" max="13933" width="12.28515625" style="314" customWidth="1"/>
    <col min="13934" max="13934" width="25.85546875" style="314" customWidth="1"/>
    <col min="13935" max="13939" width="0.85546875" style="314"/>
    <col min="13940" max="13940" width="1.85546875" style="314" bestFit="1" customWidth="1"/>
    <col min="13941" max="14187" width="0.85546875" style="314"/>
    <col min="14188" max="14188" width="3.5703125" style="314" bestFit="1" customWidth="1"/>
    <col min="14189" max="14189" width="12.28515625" style="314" customWidth="1"/>
    <col min="14190" max="14190" width="25.85546875" style="314" customWidth="1"/>
    <col min="14191" max="14195" width="0.85546875" style="314"/>
    <col min="14196" max="14196" width="1.85546875" style="314" bestFit="1" customWidth="1"/>
    <col min="14197" max="14443" width="0.85546875" style="314"/>
    <col min="14444" max="14444" width="3.5703125" style="314" bestFit="1" customWidth="1"/>
    <col min="14445" max="14445" width="12.28515625" style="314" customWidth="1"/>
    <col min="14446" max="14446" width="25.85546875" style="314" customWidth="1"/>
    <col min="14447" max="14451" width="0.85546875" style="314"/>
    <col min="14452" max="14452" width="1.85546875" style="314" bestFit="1" customWidth="1"/>
    <col min="14453" max="14699" width="0.85546875" style="314"/>
    <col min="14700" max="14700" width="3.5703125" style="314" bestFit="1" customWidth="1"/>
    <col min="14701" max="14701" width="12.28515625" style="314" customWidth="1"/>
    <col min="14702" max="14702" width="25.85546875" style="314" customWidth="1"/>
    <col min="14703" max="14707" width="0.85546875" style="314"/>
    <col min="14708" max="14708" width="1.85546875" style="314" bestFit="1" customWidth="1"/>
    <col min="14709" max="14955" width="0.85546875" style="314"/>
    <col min="14956" max="14956" width="3.5703125" style="314" bestFit="1" customWidth="1"/>
    <col min="14957" max="14957" width="12.28515625" style="314" customWidth="1"/>
    <col min="14958" max="14958" width="25.85546875" style="314" customWidth="1"/>
    <col min="14959" max="14963" width="0.85546875" style="314"/>
    <col min="14964" max="14964" width="1.85546875" style="314" bestFit="1" customWidth="1"/>
    <col min="14965" max="15211" width="0.85546875" style="314"/>
    <col min="15212" max="15212" width="3.5703125" style="314" bestFit="1" customWidth="1"/>
    <col min="15213" max="15213" width="12.28515625" style="314" customWidth="1"/>
    <col min="15214" max="15214" width="25.85546875" style="314" customWidth="1"/>
    <col min="15215" max="15219" width="0.85546875" style="314"/>
    <col min="15220" max="15220" width="1.85546875" style="314" bestFit="1" customWidth="1"/>
    <col min="15221" max="15467" width="0.85546875" style="314"/>
    <col min="15468" max="15468" width="3.5703125" style="314" bestFit="1" customWidth="1"/>
    <col min="15469" max="15469" width="12.28515625" style="314" customWidth="1"/>
    <col min="15470" max="15470" width="25.85546875" style="314" customWidth="1"/>
    <col min="15471" max="15475" width="0.85546875" style="314"/>
    <col min="15476" max="15476" width="1.85546875" style="314" bestFit="1" customWidth="1"/>
    <col min="15477" max="15723" width="0.85546875" style="314"/>
    <col min="15724" max="15724" width="3.5703125" style="314" bestFit="1" customWidth="1"/>
    <col min="15725" max="15725" width="12.28515625" style="314" customWidth="1"/>
    <col min="15726" max="15726" width="25.85546875" style="314" customWidth="1"/>
    <col min="15727" max="15731" width="0.85546875" style="314"/>
    <col min="15732" max="15732" width="1.85546875" style="314" bestFit="1" customWidth="1"/>
    <col min="15733" max="15979" width="0.85546875" style="314"/>
    <col min="15980" max="15980" width="3.5703125" style="314" bestFit="1" customWidth="1"/>
    <col min="15981" max="15981" width="12.28515625" style="314" customWidth="1"/>
    <col min="15982" max="15982" width="25.85546875" style="314" customWidth="1"/>
    <col min="15983" max="15987" width="0.85546875" style="314"/>
    <col min="15988" max="15988" width="1.85546875" style="314" bestFit="1" customWidth="1"/>
    <col min="15989" max="16235" width="0.85546875" style="314"/>
    <col min="16236" max="16236" width="3.5703125" style="314" bestFit="1" customWidth="1"/>
    <col min="16237" max="16237" width="12.28515625" style="314" customWidth="1"/>
    <col min="16238" max="16238" width="25.85546875" style="314" customWidth="1"/>
    <col min="16239" max="16243" width="0.85546875" style="314"/>
    <col min="16244" max="16244" width="1.85546875" style="314" bestFit="1" customWidth="1"/>
    <col min="16245" max="16384" width="0.85546875" style="314"/>
  </cols>
  <sheetData>
    <row r="1" spans="1:109" ht="3" customHeight="1" x14ac:dyDescent="0.25"/>
    <row r="2" spans="1:109" s="315" customFormat="1" ht="29.25" customHeight="1" x14ac:dyDescent="0.2">
      <c r="A2" s="591" t="s">
        <v>599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1"/>
      <c r="BA2" s="591"/>
      <c r="BB2" s="591"/>
      <c r="BC2" s="591"/>
      <c r="BD2" s="591"/>
      <c r="BE2" s="591"/>
      <c r="BF2" s="591"/>
      <c r="BG2" s="591"/>
      <c r="BH2" s="591"/>
      <c r="BI2" s="591"/>
      <c r="BJ2" s="591"/>
      <c r="BK2" s="591"/>
      <c r="BL2" s="591"/>
      <c r="BM2" s="591"/>
      <c r="BN2" s="591"/>
      <c r="BO2" s="591"/>
      <c r="BP2" s="591"/>
      <c r="BQ2" s="591"/>
      <c r="BR2" s="591"/>
      <c r="BS2" s="591"/>
      <c r="BT2" s="591"/>
      <c r="BU2" s="591"/>
      <c r="BV2" s="591"/>
      <c r="BW2" s="591"/>
      <c r="BX2" s="591"/>
      <c r="BY2" s="591"/>
      <c r="BZ2" s="591"/>
      <c r="CA2" s="591"/>
      <c r="CB2" s="591"/>
      <c r="CC2" s="591"/>
      <c r="CD2" s="591"/>
      <c r="CE2" s="591"/>
      <c r="CF2" s="591"/>
      <c r="CG2" s="591"/>
      <c r="CH2" s="591"/>
      <c r="CI2" s="591"/>
      <c r="CJ2" s="591"/>
      <c r="CK2" s="591"/>
      <c r="CL2" s="591"/>
      <c r="CM2" s="591"/>
      <c r="CN2" s="591"/>
      <c r="CO2" s="591"/>
      <c r="CP2" s="591"/>
      <c r="CQ2" s="591"/>
      <c r="CR2" s="591"/>
      <c r="CS2" s="591"/>
      <c r="CT2" s="591"/>
      <c r="CU2" s="591"/>
      <c r="CV2" s="591"/>
      <c r="CW2" s="591"/>
      <c r="CX2" s="591"/>
      <c r="CY2" s="591"/>
      <c r="CZ2" s="591"/>
      <c r="DA2" s="591"/>
      <c r="DE2" s="316"/>
    </row>
    <row r="3" spans="1:109" ht="15" customHeight="1" x14ac:dyDescent="0.25">
      <c r="DE3" s="317"/>
    </row>
    <row r="4" spans="1:109" s="318" customFormat="1" ht="45" customHeight="1" x14ac:dyDescent="0.25">
      <c r="A4" s="592" t="s">
        <v>146</v>
      </c>
      <c r="B4" s="593"/>
      <c r="C4" s="593"/>
      <c r="D4" s="593"/>
      <c r="E4" s="593"/>
      <c r="F4" s="594"/>
      <c r="G4" s="592" t="s">
        <v>600</v>
      </c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4"/>
      <c r="AE4" s="592" t="s">
        <v>601</v>
      </c>
      <c r="AF4" s="593"/>
      <c r="AG4" s="593"/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4"/>
      <c r="BD4" s="592" t="s">
        <v>602</v>
      </c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4"/>
      <c r="BT4" s="592" t="s">
        <v>603</v>
      </c>
      <c r="BU4" s="593"/>
      <c r="BV4" s="593"/>
      <c r="BW4" s="593"/>
      <c r="BX4" s="593"/>
      <c r="BY4" s="593"/>
      <c r="BZ4" s="593"/>
      <c r="CA4" s="593"/>
      <c r="CB4" s="593"/>
      <c r="CC4" s="593"/>
      <c r="CD4" s="593"/>
      <c r="CE4" s="593"/>
      <c r="CF4" s="593"/>
      <c r="CG4" s="593"/>
      <c r="CH4" s="593"/>
      <c r="CI4" s="594"/>
      <c r="CJ4" s="592" t="s">
        <v>604</v>
      </c>
      <c r="CK4" s="593"/>
      <c r="CL4" s="593"/>
      <c r="CM4" s="593"/>
      <c r="CN4" s="593"/>
      <c r="CO4" s="593"/>
      <c r="CP4" s="593"/>
      <c r="CQ4" s="593"/>
      <c r="CR4" s="593"/>
      <c r="CS4" s="593"/>
      <c r="CT4" s="593"/>
      <c r="CU4" s="593"/>
      <c r="CV4" s="593"/>
      <c r="CW4" s="593"/>
      <c r="CX4" s="593"/>
      <c r="CY4" s="593"/>
      <c r="CZ4" s="593"/>
      <c r="DA4" s="594"/>
      <c r="DE4" s="317"/>
    </row>
    <row r="5" spans="1:109" s="209" customFormat="1" ht="12.75" x14ac:dyDescent="0.25">
      <c r="A5" s="602">
        <v>1</v>
      </c>
      <c r="B5" s="602"/>
      <c r="C5" s="602"/>
      <c r="D5" s="602"/>
      <c r="E5" s="602"/>
      <c r="F5" s="602"/>
      <c r="G5" s="602">
        <v>2</v>
      </c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>
        <v>3</v>
      </c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602"/>
      <c r="AS5" s="602"/>
      <c r="AT5" s="602"/>
      <c r="AU5" s="602"/>
      <c r="AV5" s="602"/>
      <c r="AW5" s="602"/>
      <c r="AX5" s="602"/>
      <c r="AY5" s="602"/>
      <c r="AZ5" s="602"/>
      <c r="BA5" s="602"/>
      <c r="BB5" s="602"/>
      <c r="BC5" s="602"/>
      <c r="BD5" s="602">
        <v>4</v>
      </c>
      <c r="BE5" s="602"/>
      <c r="BF5" s="602"/>
      <c r="BG5" s="602"/>
      <c r="BH5" s="602"/>
      <c r="BI5" s="602"/>
      <c r="BJ5" s="602"/>
      <c r="BK5" s="602"/>
      <c r="BL5" s="602"/>
      <c r="BM5" s="602"/>
      <c r="BN5" s="602"/>
      <c r="BO5" s="602"/>
      <c r="BP5" s="602"/>
      <c r="BQ5" s="602"/>
      <c r="BR5" s="602"/>
      <c r="BS5" s="602"/>
      <c r="BT5" s="602">
        <v>5</v>
      </c>
      <c r="BU5" s="602"/>
      <c r="BV5" s="602"/>
      <c r="BW5" s="602"/>
      <c r="BX5" s="602"/>
      <c r="BY5" s="602"/>
      <c r="BZ5" s="602"/>
      <c r="CA5" s="602"/>
      <c r="CB5" s="602"/>
      <c r="CC5" s="602"/>
      <c r="CD5" s="602"/>
      <c r="CE5" s="602"/>
      <c r="CF5" s="602"/>
      <c r="CG5" s="602"/>
      <c r="CH5" s="602"/>
      <c r="CI5" s="602"/>
      <c r="CJ5" s="602">
        <v>6</v>
      </c>
      <c r="CK5" s="602"/>
      <c r="CL5" s="602"/>
      <c r="CM5" s="602"/>
      <c r="CN5" s="602"/>
      <c r="CO5" s="602"/>
      <c r="CP5" s="602"/>
      <c r="CQ5" s="602"/>
      <c r="CR5" s="602"/>
      <c r="CS5" s="602"/>
      <c r="CT5" s="602"/>
      <c r="CU5" s="602"/>
      <c r="CV5" s="602"/>
      <c r="CW5" s="602"/>
      <c r="CX5" s="602"/>
      <c r="CY5" s="602"/>
      <c r="CZ5" s="602"/>
      <c r="DA5" s="602"/>
      <c r="DE5" s="317"/>
    </row>
    <row r="6" spans="1:109" s="317" customFormat="1" ht="15" customHeight="1" x14ac:dyDescent="0.25">
      <c r="A6" s="595" t="s">
        <v>521</v>
      </c>
      <c r="B6" s="595"/>
      <c r="C6" s="595"/>
      <c r="D6" s="595"/>
      <c r="E6" s="595"/>
      <c r="F6" s="595"/>
      <c r="G6" s="596" t="s">
        <v>605</v>
      </c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8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600"/>
      <c r="CJ6" s="601">
        <v>29400</v>
      </c>
      <c r="CK6" s="601"/>
      <c r="CL6" s="601"/>
      <c r="CM6" s="601"/>
      <c r="CN6" s="601"/>
      <c r="CO6" s="601"/>
      <c r="CP6" s="601"/>
      <c r="CQ6" s="601"/>
      <c r="CR6" s="601"/>
      <c r="CS6" s="601"/>
      <c r="CT6" s="601"/>
      <c r="CU6" s="601"/>
      <c r="CV6" s="601"/>
      <c r="CW6" s="601"/>
      <c r="CX6" s="601"/>
      <c r="CY6" s="601"/>
      <c r="CZ6" s="601"/>
      <c r="DA6" s="601"/>
    </row>
    <row r="7" spans="1:109" s="317" customFormat="1" ht="15" customHeight="1" x14ac:dyDescent="0.25">
      <c r="A7" s="595" t="s">
        <v>529</v>
      </c>
      <c r="B7" s="595"/>
      <c r="C7" s="595"/>
      <c r="D7" s="595"/>
      <c r="E7" s="595"/>
      <c r="F7" s="595"/>
      <c r="G7" s="596" t="s">
        <v>606</v>
      </c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8"/>
      <c r="BU7" s="599"/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600"/>
      <c r="CJ7" s="601">
        <f>AE7*BD7*BT7</f>
        <v>0</v>
      </c>
      <c r="CK7" s="601"/>
      <c r="CL7" s="601"/>
      <c r="CM7" s="601"/>
      <c r="CN7" s="601"/>
      <c r="CO7" s="601"/>
      <c r="CP7" s="601"/>
      <c r="CQ7" s="601"/>
      <c r="CR7" s="601"/>
      <c r="CS7" s="601"/>
      <c r="CT7" s="601"/>
      <c r="CU7" s="601"/>
      <c r="CV7" s="601"/>
      <c r="CW7" s="601"/>
      <c r="CX7" s="601"/>
      <c r="CY7" s="601"/>
      <c r="CZ7" s="601"/>
      <c r="DA7" s="601"/>
    </row>
    <row r="8" spans="1:109" s="317" customFormat="1" ht="15" customHeight="1" x14ac:dyDescent="0.2">
      <c r="A8" s="595" t="s">
        <v>540</v>
      </c>
      <c r="B8" s="595"/>
      <c r="C8" s="595"/>
      <c r="D8" s="595"/>
      <c r="E8" s="595"/>
      <c r="F8" s="595"/>
      <c r="G8" s="596" t="s">
        <v>607</v>
      </c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603"/>
      <c r="AF8" s="604"/>
      <c r="AG8" s="604"/>
      <c r="AH8" s="604"/>
      <c r="AI8" s="604"/>
      <c r="AJ8" s="604"/>
      <c r="AK8" s="604"/>
      <c r="AL8" s="604"/>
      <c r="AM8" s="604"/>
      <c r="AN8" s="604"/>
      <c r="AO8" s="604"/>
      <c r="AP8" s="604"/>
      <c r="AQ8" s="604"/>
      <c r="AR8" s="604"/>
      <c r="AS8" s="604"/>
      <c r="AT8" s="604"/>
      <c r="AU8" s="604"/>
      <c r="AV8" s="604"/>
      <c r="AW8" s="604"/>
      <c r="AX8" s="604"/>
      <c r="AY8" s="604"/>
      <c r="AZ8" s="604"/>
      <c r="BA8" s="604"/>
      <c r="BB8" s="604"/>
      <c r="BC8" s="605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8"/>
      <c r="BU8" s="599"/>
      <c r="BV8" s="599"/>
      <c r="BW8" s="599"/>
      <c r="BX8" s="599"/>
      <c r="BY8" s="599"/>
      <c r="BZ8" s="599"/>
      <c r="CA8" s="599"/>
      <c r="CB8" s="599"/>
      <c r="CC8" s="599"/>
      <c r="CD8" s="599"/>
      <c r="CE8" s="599"/>
      <c r="CF8" s="599"/>
      <c r="CG8" s="599"/>
      <c r="CH8" s="599"/>
      <c r="CI8" s="600"/>
      <c r="CJ8" s="601">
        <v>28230</v>
      </c>
      <c r="CK8" s="601"/>
      <c r="CL8" s="601"/>
      <c r="CM8" s="601"/>
      <c r="CN8" s="601"/>
      <c r="CO8" s="601"/>
      <c r="CP8" s="601"/>
      <c r="CQ8" s="601"/>
      <c r="CR8" s="601"/>
      <c r="CS8" s="601"/>
      <c r="CT8" s="601"/>
      <c r="CU8" s="601"/>
      <c r="CV8" s="601"/>
      <c r="CW8" s="601"/>
      <c r="CX8" s="601"/>
      <c r="CY8" s="601"/>
      <c r="CZ8" s="601"/>
      <c r="DA8" s="601"/>
      <c r="DE8" s="202"/>
    </row>
    <row r="9" spans="1:109" s="317" customFormat="1" ht="25.5" customHeight="1" x14ac:dyDescent="0.2">
      <c r="A9" s="595" t="s">
        <v>608</v>
      </c>
      <c r="B9" s="595"/>
      <c r="C9" s="595"/>
      <c r="D9" s="595"/>
      <c r="E9" s="595"/>
      <c r="F9" s="595"/>
      <c r="G9" s="596" t="s">
        <v>609</v>
      </c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603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5"/>
      <c r="BD9" s="597"/>
      <c r="BE9" s="597"/>
      <c r="BF9" s="597"/>
      <c r="BG9" s="597"/>
      <c r="BH9" s="597"/>
      <c r="BI9" s="597"/>
      <c r="BJ9" s="597"/>
      <c r="BK9" s="597"/>
      <c r="BL9" s="597"/>
      <c r="BM9" s="597"/>
      <c r="BN9" s="597"/>
      <c r="BO9" s="597"/>
      <c r="BP9" s="597"/>
      <c r="BQ9" s="597"/>
      <c r="BR9" s="597"/>
      <c r="BS9" s="597"/>
      <c r="BT9" s="598"/>
      <c r="BU9" s="599"/>
      <c r="BV9" s="599"/>
      <c r="BW9" s="599"/>
      <c r="BX9" s="599"/>
      <c r="BY9" s="599"/>
      <c r="BZ9" s="599"/>
      <c r="CA9" s="599"/>
      <c r="CB9" s="599"/>
      <c r="CC9" s="599"/>
      <c r="CD9" s="599"/>
      <c r="CE9" s="599"/>
      <c r="CF9" s="599"/>
      <c r="CG9" s="599"/>
      <c r="CH9" s="599"/>
      <c r="CI9" s="600"/>
      <c r="CJ9" s="601">
        <v>61403</v>
      </c>
      <c r="CK9" s="601"/>
      <c r="CL9" s="601"/>
      <c r="CM9" s="601"/>
      <c r="CN9" s="601"/>
      <c r="CO9" s="601"/>
      <c r="CP9" s="601"/>
      <c r="CQ9" s="601"/>
      <c r="CR9" s="601"/>
      <c r="CS9" s="601"/>
      <c r="CT9" s="601"/>
      <c r="CU9" s="601"/>
      <c r="CV9" s="601"/>
      <c r="CW9" s="601"/>
      <c r="CX9" s="601"/>
      <c r="CY9" s="601"/>
      <c r="CZ9" s="601"/>
      <c r="DA9" s="601"/>
      <c r="DE9" s="319"/>
    </row>
    <row r="10" spans="1:109" s="317" customFormat="1" ht="25.5" customHeight="1" x14ac:dyDescent="0.2">
      <c r="A10" s="595" t="s">
        <v>959</v>
      </c>
      <c r="B10" s="595"/>
      <c r="C10" s="595"/>
      <c r="D10" s="595"/>
      <c r="E10" s="595"/>
      <c r="F10" s="595"/>
      <c r="G10" s="596" t="s">
        <v>960</v>
      </c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603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604"/>
      <c r="AZ10" s="604"/>
      <c r="BA10" s="604"/>
      <c r="BB10" s="604"/>
      <c r="BC10" s="605"/>
      <c r="BD10" s="597"/>
      <c r="BE10" s="597"/>
      <c r="BF10" s="597"/>
      <c r="BG10" s="597"/>
      <c r="BH10" s="597"/>
      <c r="BI10" s="597"/>
      <c r="BJ10" s="597"/>
      <c r="BK10" s="597"/>
      <c r="BL10" s="597"/>
      <c r="BM10" s="597"/>
      <c r="BN10" s="597"/>
      <c r="BO10" s="597"/>
      <c r="BP10" s="597"/>
      <c r="BQ10" s="597"/>
      <c r="BR10" s="597"/>
      <c r="BS10" s="597"/>
      <c r="BT10" s="598"/>
      <c r="BU10" s="599"/>
      <c r="BV10" s="599"/>
      <c r="BW10" s="599"/>
      <c r="BX10" s="599"/>
      <c r="BY10" s="599"/>
      <c r="BZ10" s="599"/>
      <c r="CA10" s="599"/>
      <c r="CB10" s="599"/>
      <c r="CC10" s="599"/>
      <c r="CD10" s="599"/>
      <c r="CE10" s="599"/>
      <c r="CF10" s="599"/>
      <c r="CG10" s="599"/>
      <c r="CH10" s="599"/>
      <c r="CI10" s="600"/>
      <c r="CJ10" s="601">
        <v>90957</v>
      </c>
      <c r="CK10" s="601"/>
      <c r="CL10" s="601"/>
      <c r="CM10" s="601"/>
      <c r="CN10" s="601"/>
      <c r="CO10" s="601"/>
      <c r="CP10" s="601"/>
      <c r="CQ10" s="601"/>
      <c r="CR10" s="601"/>
      <c r="CS10" s="601"/>
      <c r="CT10" s="601"/>
      <c r="CU10" s="601"/>
      <c r="CV10" s="601"/>
      <c r="CW10" s="601"/>
      <c r="CX10" s="601"/>
      <c r="CY10" s="601"/>
      <c r="CZ10" s="601"/>
      <c r="DA10" s="601"/>
      <c r="DE10" s="319"/>
    </row>
    <row r="11" spans="1:109" s="317" customFormat="1" ht="15" customHeight="1" x14ac:dyDescent="0.2">
      <c r="A11" s="595"/>
      <c r="B11" s="595"/>
      <c r="C11" s="595"/>
      <c r="D11" s="595"/>
      <c r="E11" s="595"/>
      <c r="F11" s="595"/>
      <c r="G11" s="606" t="s">
        <v>610</v>
      </c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7"/>
      <c r="AE11" s="597" t="s">
        <v>487</v>
      </c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597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597"/>
      <c r="BD11" s="597" t="s">
        <v>487</v>
      </c>
      <c r="BE11" s="597"/>
      <c r="BF11" s="597"/>
      <c r="BG11" s="597"/>
      <c r="BH11" s="597"/>
      <c r="BI11" s="597"/>
      <c r="BJ11" s="597"/>
      <c r="BK11" s="597"/>
      <c r="BL11" s="597"/>
      <c r="BM11" s="597"/>
      <c r="BN11" s="597"/>
      <c r="BO11" s="597"/>
      <c r="BP11" s="597"/>
      <c r="BQ11" s="597"/>
      <c r="BR11" s="597"/>
      <c r="BS11" s="597"/>
      <c r="BT11" s="597" t="s">
        <v>487</v>
      </c>
      <c r="BU11" s="597"/>
      <c r="BV11" s="597"/>
      <c r="BW11" s="597"/>
      <c r="BX11" s="597"/>
      <c r="BY11" s="597"/>
      <c r="BZ11" s="597"/>
      <c r="CA11" s="597"/>
      <c r="CB11" s="597"/>
      <c r="CC11" s="597"/>
      <c r="CD11" s="597"/>
      <c r="CE11" s="597"/>
      <c r="CF11" s="597"/>
      <c r="CG11" s="597"/>
      <c r="CH11" s="597"/>
      <c r="CI11" s="597"/>
      <c r="CJ11" s="608">
        <f>CJ6+CJ7+CJ8+CJ9+CJ10</f>
        <v>209990</v>
      </c>
      <c r="CK11" s="608"/>
      <c r="CL11" s="608"/>
      <c r="CM11" s="608"/>
      <c r="CN11" s="608"/>
      <c r="CO11" s="608"/>
      <c r="CP11" s="608"/>
      <c r="CQ11" s="608"/>
      <c r="CR11" s="608"/>
      <c r="CS11" s="608"/>
      <c r="CT11" s="608"/>
      <c r="CU11" s="608"/>
      <c r="CV11" s="608"/>
      <c r="CW11" s="608"/>
      <c r="CX11" s="608"/>
      <c r="CY11" s="608"/>
      <c r="CZ11" s="608"/>
      <c r="DA11" s="608"/>
      <c r="DE11" s="202">
        <v>212</v>
      </c>
    </row>
    <row r="12" spans="1:109" ht="12" customHeight="1" x14ac:dyDescent="0.25">
      <c r="DE12" s="320"/>
    </row>
    <row r="13" spans="1:109" s="315" customFormat="1" ht="14.25" hidden="1" x14ac:dyDescent="0.2">
      <c r="A13" s="609" t="s">
        <v>611</v>
      </c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09"/>
      <c r="AZ13" s="609"/>
      <c r="BA13" s="609"/>
      <c r="BB13" s="609"/>
      <c r="BC13" s="609"/>
      <c r="BD13" s="609"/>
      <c r="BE13" s="609"/>
      <c r="BF13" s="609"/>
      <c r="BG13" s="609"/>
      <c r="BH13" s="609"/>
      <c r="BI13" s="609"/>
      <c r="BJ13" s="609"/>
      <c r="BK13" s="609"/>
      <c r="BL13" s="609"/>
      <c r="BM13" s="609"/>
      <c r="BN13" s="609"/>
      <c r="BO13" s="609"/>
      <c r="BP13" s="609"/>
      <c r="BQ13" s="609"/>
      <c r="BR13" s="609"/>
      <c r="BS13" s="609"/>
      <c r="BT13" s="609"/>
      <c r="BU13" s="609"/>
      <c r="BV13" s="609"/>
      <c r="BW13" s="609"/>
      <c r="BX13" s="609"/>
      <c r="BY13" s="609"/>
      <c r="BZ13" s="609"/>
      <c r="CA13" s="609"/>
      <c r="CB13" s="609"/>
      <c r="CC13" s="609"/>
      <c r="CD13" s="609"/>
      <c r="CE13" s="609"/>
      <c r="CF13" s="609"/>
      <c r="CG13" s="609"/>
      <c r="CH13" s="609"/>
      <c r="CI13" s="609"/>
      <c r="CJ13" s="609"/>
      <c r="CK13" s="609"/>
      <c r="CL13" s="609"/>
      <c r="CM13" s="609"/>
      <c r="CN13" s="609"/>
      <c r="CO13" s="609"/>
      <c r="CP13" s="609"/>
      <c r="CQ13" s="609"/>
      <c r="CR13" s="609"/>
      <c r="CS13" s="609"/>
      <c r="CT13" s="609"/>
      <c r="CU13" s="609"/>
      <c r="CV13" s="609"/>
      <c r="CW13" s="609"/>
      <c r="CX13" s="609"/>
      <c r="CY13" s="609"/>
      <c r="CZ13" s="609"/>
      <c r="DA13" s="609"/>
      <c r="DE13" s="316"/>
    </row>
    <row r="14" spans="1:109" ht="10.5" hidden="1" customHeight="1" x14ac:dyDescent="0.25">
      <c r="DE14" s="317"/>
    </row>
    <row r="15" spans="1:109" s="318" customFormat="1" ht="55.5" hidden="1" customHeight="1" x14ac:dyDescent="0.25">
      <c r="A15" s="592" t="s">
        <v>146</v>
      </c>
      <c r="B15" s="593"/>
      <c r="C15" s="593"/>
      <c r="D15" s="593"/>
      <c r="E15" s="593"/>
      <c r="F15" s="594"/>
      <c r="G15" s="592" t="s">
        <v>600</v>
      </c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4"/>
      <c r="AE15" s="592" t="s">
        <v>612</v>
      </c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4"/>
      <c r="AZ15" s="592" t="s">
        <v>613</v>
      </c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4"/>
      <c r="BR15" s="592" t="s">
        <v>614</v>
      </c>
      <c r="BS15" s="593"/>
      <c r="BT15" s="593"/>
      <c r="BU15" s="593"/>
      <c r="BV15" s="593"/>
      <c r="BW15" s="593"/>
      <c r="BX15" s="593"/>
      <c r="BY15" s="593"/>
      <c r="BZ15" s="593"/>
      <c r="CA15" s="593"/>
      <c r="CB15" s="593"/>
      <c r="CC15" s="593"/>
      <c r="CD15" s="593"/>
      <c r="CE15" s="593"/>
      <c r="CF15" s="593"/>
      <c r="CG15" s="593"/>
      <c r="CH15" s="593"/>
      <c r="CI15" s="594"/>
      <c r="CJ15" s="592" t="s">
        <v>604</v>
      </c>
      <c r="CK15" s="593"/>
      <c r="CL15" s="593"/>
      <c r="CM15" s="593"/>
      <c r="CN15" s="593"/>
      <c r="CO15" s="593"/>
      <c r="CP15" s="593"/>
      <c r="CQ15" s="593"/>
      <c r="CR15" s="593"/>
      <c r="CS15" s="593"/>
      <c r="CT15" s="593"/>
      <c r="CU15" s="593"/>
      <c r="CV15" s="593"/>
      <c r="CW15" s="593"/>
      <c r="CX15" s="593"/>
      <c r="CY15" s="593"/>
      <c r="CZ15" s="593"/>
      <c r="DA15" s="594"/>
      <c r="DE15" s="317"/>
    </row>
    <row r="16" spans="1:109" s="209" customFormat="1" ht="12.75" hidden="1" x14ac:dyDescent="0.25">
      <c r="A16" s="602">
        <v>1</v>
      </c>
      <c r="B16" s="602"/>
      <c r="C16" s="602"/>
      <c r="D16" s="602"/>
      <c r="E16" s="602"/>
      <c r="F16" s="602"/>
      <c r="G16" s="602">
        <v>2</v>
      </c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>
        <v>3</v>
      </c>
      <c r="AF16" s="602"/>
      <c r="AG16" s="602"/>
      <c r="AH16" s="602"/>
      <c r="AI16" s="602"/>
      <c r="AJ16" s="602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602"/>
      <c r="AW16" s="602"/>
      <c r="AX16" s="602"/>
      <c r="AY16" s="602"/>
      <c r="AZ16" s="602">
        <v>4</v>
      </c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>
        <v>5</v>
      </c>
      <c r="BS16" s="602"/>
      <c r="BT16" s="602"/>
      <c r="BU16" s="602"/>
      <c r="BV16" s="602"/>
      <c r="BW16" s="602"/>
      <c r="BX16" s="602"/>
      <c r="BY16" s="602"/>
      <c r="BZ16" s="602"/>
      <c r="CA16" s="602"/>
      <c r="CB16" s="602"/>
      <c r="CC16" s="602"/>
      <c r="CD16" s="602"/>
      <c r="CE16" s="602"/>
      <c r="CF16" s="602"/>
      <c r="CG16" s="602"/>
      <c r="CH16" s="602"/>
      <c r="CI16" s="602"/>
      <c r="CJ16" s="602">
        <v>6</v>
      </c>
      <c r="CK16" s="602"/>
      <c r="CL16" s="602"/>
      <c r="CM16" s="602"/>
      <c r="CN16" s="602"/>
      <c r="CO16" s="602"/>
      <c r="CP16" s="602"/>
      <c r="CQ16" s="602"/>
      <c r="CR16" s="602"/>
      <c r="CS16" s="602"/>
      <c r="CT16" s="602"/>
      <c r="CU16" s="602"/>
      <c r="CV16" s="602"/>
      <c r="CW16" s="602"/>
      <c r="CX16" s="602"/>
      <c r="CY16" s="602"/>
      <c r="CZ16" s="602"/>
      <c r="DA16" s="602"/>
      <c r="DE16" s="317"/>
    </row>
    <row r="17" spans="1:109" s="317" customFormat="1" ht="27" hidden="1" customHeight="1" x14ac:dyDescent="0.2">
      <c r="A17" s="595" t="s">
        <v>521</v>
      </c>
      <c r="B17" s="595"/>
      <c r="C17" s="595"/>
      <c r="D17" s="595"/>
      <c r="E17" s="595"/>
      <c r="F17" s="595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  <c r="AE17" s="597"/>
      <c r="AF17" s="597"/>
      <c r="AG17" s="597"/>
      <c r="AH17" s="597"/>
      <c r="AI17" s="597"/>
      <c r="AJ17" s="597"/>
      <c r="AK17" s="597"/>
      <c r="AL17" s="597"/>
      <c r="AM17" s="597"/>
      <c r="AN17" s="597"/>
      <c r="AO17" s="597"/>
      <c r="AP17" s="597"/>
      <c r="AQ17" s="597"/>
      <c r="AR17" s="597"/>
      <c r="AS17" s="597"/>
      <c r="AT17" s="597"/>
      <c r="AU17" s="597"/>
      <c r="AV17" s="597"/>
      <c r="AW17" s="597"/>
      <c r="AX17" s="597"/>
      <c r="AY17" s="597"/>
      <c r="AZ17" s="597"/>
      <c r="BA17" s="597"/>
      <c r="BB17" s="597"/>
      <c r="BC17" s="597"/>
      <c r="BD17" s="597"/>
      <c r="BE17" s="597"/>
      <c r="BF17" s="597"/>
      <c r="BG17" s="597"/>
      <c r="BH17" s="597"/>
      <c r="BI17" s="597"/>
      <c r="BJ17" s="597"/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  <c r="BX17" s="597"/>
      <c r="BY17" s="597"/>
      <c r="BZ17" s="597"/>
      <c r="CA17" s="597"/>
      <c r="CB17" s="597"/>
      <c r="CC17" s="597"/>
      <c r="CD17" s="597"/>
      <c r="CE17" s="597"/>
      <c r="CF17" s="597"/>
      <c r="CG17" s="597"/>
      <c r="CH17" s="597"/>
      <c r="CI17" s="597"/>
      <c r="CJ17" s="597">
        <f>AE17*AZ17*BR17</f>
        <v>0</v>
      </c>
      <c r="CK17" s="597"/>
      <c r="CL17" s="597"/>
      <c r="CM17" s="597"/>
      <c r="CN17" s="597"/>
      <c r="CO17" s="597"/>
      <c r="CP17" s="597"/>
      <c r="CQ17" s="597"/>
      <c r="CR17" s="597"/>
      <c r="CS17" s="597"/>
      <c r="CT17" s="597"/>
      <c r="CU17" s="597"/>
      <c r="CV17" s="597"/>
      <c r="CW17" s="597"/>
      <c r="CX17" s="597"/>
      <c r="CY17" s="597"/>
      <c r="CZ17" s="597"/>
      <c r="DA17" s="597"/>
      <c r="DE17" s="202"/>
    </row>
    <row r="18" spans="1:109" s="317" customFormat="1" ht="15" hidden="1" customHeight="1" x14ac:dyDescent="0.2">
      <c r="A18" s="595"/>
      <c r="B18" s="595"/>
      <c r="C18" s="595"/>
      <c r="D18" s="595"/>
      <c r="E18" s="595"/>
      <c r="F18" s="595"/>
      <c r="G18" s="606" t="s">
        <v>610</v>
      </c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606"/>
      <c r="Y18" s="606"/>
      <c r="Z18" s="606"/>
      <c r="AA18" s="606"/>
      <c r="AB18" s="606"/>
      <c r="AC18" s="606"/>
      <c r="AD18" s="607"/>
      <c r="AE18" s="597" t="s">
        <v>487</v>
      </c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7" t="s">
        <v>487</v>
      </c>
      <c r="BA18" s="597"/>
      <c r="BB18" s="597"/>
      <c r="BC18" s="597"/>
      <c r="BD18" s="597"/>
      <c r="BE18" s="597"/>
      <c r="BF18" s="597"/>
      <c r="BG18" s="597"/>
      <c r="BH18" s="597"/>
      <c r="BI18" s="597"/>
      <c r="BJ18" s="597"/>
      <c r="BK18" s="597"/>
      <c r="BL18" s="597"/>
      <c r="BM18" s="597"/>
      <c r="BN18" s="597"/>
      <c r="BO18" s="597"/>
      <c r="BP18" s="597"/>
      <c r="BQ18" s="597"/>
      <c r="BR18" s="597" t="s">
        <v>487</v>
      </c>
      <c r="BS18" s="597"/>
      <c r="BT18" s="597"/>
      <c r="BU18" s="597"/>
      <c r="BV18" s="597"/>
      <c r="BW18" s="597"/>
      <c r="BX18" s="597"/>
      <c r="BY18" s="597"/>
      <c r="BZ18" s="597"/>
      <c r="CA18" s="597"/>
      <c r="CB18" s="597"/>
      <c r="CC18" s="597"/>
      <c r="CD18" s="597"/>
      <c r="CE18" s="597"/>
      <c r="CF18" s="597"/>
      <c r="CG18" s="597"/>
      <c r="CH18" s="597"/>
      <c r="CI18" s="597"/>
      <c r="CJ18" s="608">
        <f>CJ17</f>
        <v>0</v>
      </c>
      <c r="CK18" s="608"/>
      <c r="CL18" s="608"/>
      <c r="CM18" s="608"/>
      <c r="CN18" s="608"/>
      <c r="CO18" s="608"/>
      <c r="CP18" s="608"/>
      <c r="CQ18" s="608"/>
      <c r="CR18" s="608"/>
      <c r="CS18" s="608"/>
      <c r="CT18" s="608"/>
      <c r="CU18" s="608"/>
      <c r="CV18" s="608"/>
      <c r="CW18" s="608"/>
      <c r="CX18" s="608"/>
      <c r="CY18" s="608"/>
      <c r="CZ18" s="608"/>
      <c r="DA18" s="608"/>
      <c r="DE18" s="202"/>
    </row>
    <row r="20" spans="1:109" s="315" customFormat="1" ht="64.5" customHeight="1" x14ac:dyDescent="0.2">
      <c r="A20" s="591" t="s">
        <v>615</v>
      </c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  <c r="CB20" s="591"/>
      <c r="CC20" s="591"/>
      <c r="CD20" s="591"/>
      <c r="CE20" s="591"/>
      <c r="CF20" s="591"/>
      <c r="CG20" s="591"/>
      <c r="CH20" s="591"/>
      <c r="CI20" s="591"/>
      <c r="CJ20" s="591"/>
      <c r="CK20" s="591"/>
      <c r="CL20" s="591"/>
      <c r="CM20" s="591"/>
      <c r="CN20" s="591"/>
      <c r="CO20" s="591"/>
      <c r="CP20" s="591"/>
      <c r="CQ20" s="591"/>
      <c r="CR20" s="591"/>
      <c r="CS20" s="591"/>
      <c r="CT20" s="591"/>
      <c r="CU20" s="591"/>
      <c r="CV20" s="591"/>
      <c r="CW20" s="591"/>
      <c r="CX20" s="591"/>
      <c r="CY20" s="591"/>
      <c r="CZ20" s="591"/>
      <c r="DA20" s="591"/>
      <c r="DE20" s="202"/>
    </row>
    <row r="21" spans="1:109" ht="10.5" customHeight="1" x14ac:dyDescent="0.25"/>
    <row r="22" spans="1:109" ht="55.5" customHeight="1" x14ac:dyDescent="0.25">
      <c r="A22" s="592" t="s">
        <v>146</v>
      </c>
      <c r="B22" s="593"/>
      <c r="C22" s="593"/>
      <c r="D22" s="593"/>
      <c r="E22" s="593"/>
      <c r="F22" s="594"/>
      <c r="G22" s="592" t="s">
        <v>518</v>
      </c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3"/>
      <c r="AW22" s="593"/>
      <c r="AX22" s="593"/>
      <c r="AY22" s="593"/>
      <c r="AZ22" s="593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593"/>
      <c r="BO22" s="593"/>
      <c r="BP22" s="593"/>
      <c r="BQ22" s="593"/>
      <c r="BR22" s="593"/>
      <c r="BS22" s="593"/>
      <c r="BT22" s="593"/>
      <c r="BU22" s="593"/>
      <c r="BV22" s="594"/>
      <c r="BW22" s="592" t="s">
        <v>519</v>
      </c>
      <c r="BX22" s="593"/>
      <c r="BY22" s="593"/>
      <c r="BZ22" s="593"/>
      <c r="CA22" s="593"/>
      <c r="CB22" s="593"/>
      <c r="CC22" s="593"/>
      <c r="CD22" s="593"/>
      <c r="CE22" s="593"/>
      <c r="CF22" s="593"/>
      <c r="CG22" s="593"/>
      <c r="CH22" s="593"/>
      <c r="CI22" s="593"/>
      <c r="CJ22" s="593"/>
      <c r="CK22" s="593"/>
      <c r="CL22" s="594"/>
      <c r="CM22" s="592" t="s">
        <v>520</v>
      </c>
      <c r="CN22" s="593"/>
      <c r="CO22" s="593"/>
      <c r="CP22" s="593"/>
      <c r="CQ22" s="593"/>
      <c r="CR22" s="593"/>
      <c r="CS22" s="593"/>
      <c r="CT22" s="593"/>
      <c r="CU22" s="593"/>
      <c r="CV22" s="593"/>
      <c r="CW22" s="593"/>
      <c r="CX22" s="593"/>
      <c r="CY22" s="593"/>
      <c r="CZ22" s="593"/>
      <c r="DA22" s="594"/>
    </row>
    <row r="23" spans="1:109" s="202" customFormat="1" ht="12.75" x14ac:dyDescent="0.2">
      <c r="A23" s="602">
        <v>1</v>
      </c>
      <c r="B23" s="602"/>
      <c r="C23" s="602"/>
      <c r="D23" s="602"/>
      <c r="E23" s="602"/>
      <c r="F23" s="602"/>
      <c r="G23" s="602">
        <v>2</v>
      </c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  <c r="AT23" s="602"/>
      <c r="AU23" s="602"/>
      <c r="AV23" s="602"/>
      <c r="AW23" s="602"/>
      <c r="AX23" s="602"/>
      <c r="AY23" s="602"/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>
        <v>3</v>
      </c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2">
        <v>4</v>
      </c>
      <c r="CN23" s="602"/>
      <c r="CO23" s="602"/>
      <c r="CP23" s="602"/>
      <c r="CQ23" s="602"/>
      <c r="CR23" s="602"/>
      <c r="CS23" s="602"/>
      <c r="CT23" s="602"/>
      <c r="CU23" s="602"/>
      <c r="CV23" s="602"/>
      <c r="CW23" s="602"/>
      <c r="CX23" s="602"/>
      <c r="CY23" s="602"/>
      <c r="CZ23" s="602"/>
      <c r="DA23" s="602"/>
    </row>
    <row r="24" spans="1:109" ht="15" customHeight="1" x14ac:dyDescent="0.25">
      <c r="A24" s="595" t="s">
        <v>521</v>
      </c>
      <c r="B24" s="595"/>
      <c r="C24" s="595"/>
      <c r="D24" s="595"/>
      <c r="E24" s="595"/>
      <c r="F24" s="595"/>
      <c r="G24" s="321"/>
      <c r="H24" s="612" t="s">
        <v>522</v>
      </c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612"/>
      <c r="AN24" s="612"/>
      <c r="AO24" s="612"/>
      <c r="AP24" s="612"/>
      <c r="AQ24" s="612"/>
      <c r="AR24" s="612"/>
      <c r="AS24" s="612"/>
      <c r="AT24" s="612"/>
      <c r="AU24" s="612"/>
      <c r="AV24" s="612"/>
      <c r="AW24" s="612"/>
      <c r="AX24" s="612"/>
      <c r="AY24" s="612"/>
      <c r="AZ24" s="612"/>
      <c r="BA24" s="612"/>
      <c r="BB24" s="612"/>
      <c r="BC24" s="612"/>
      <c r="BD24" s="612"/>
      <c r="BE24" s="612"/>
      <c r="BF24" s="612"/>
      <c r="BG24" s="612"/>
      <c r="BH24" s="612"/>
      <c r="BI24" s="612"/>
      <c r="BJ24" s="612"/>
      <c r="BK24" s="612"/>
      <c r="BL24" s="612"/>
      <c r="BM24" s="612"/>
      <c r="BN24" s="612"/>
      <c r="BO24" s="612"/>
      <c r="BP24" s="612"/>
      <c r="BQ24" s="612"/>
      <c r="BR24" s="612"/>
      <c r="BS24" s="612"/>
      <c r="BT24" s="612"/>
      <c r="BU24" s="612"/>
      <c r="BV24" s="613"/>
      <c r="BW24" s="597" t="s">
        <v>487</v>
      </c>
      <c r="BX24" s="597"/>
      <c r="BY24" s="597"/>
      <c r="BZ24" s="597"/>
      <c r="CA24" s="597"/>
      <c r="CB24" s="597"/>
      <c r="CC24" s="597"/>
      <c r="CD24" s="597"/>
      <c r="CE24" s="597"/>
      <c r="CF24" s="597"/>
      <c r="CG24" s="597"/>
      <c r="CH24" s="597"/>
      <c r="CI24" s="597"/>
      <c r="CJ24" s="597"/>
      <c r="CK24" s="597"/>
      <c r="CL24" s="597"/>
      <c r="CM24" s="597"/>
      <c r="CN24" s="597"/>
      <c r="CO24" s="597"/>
      <c r="CP24" s="597"/>
      <c r="CQ24" s="597"/>
      <c r="CR24" s="597"/>
      <c r="CS24" s="597"/>
      <c r="CT24" s="597"/>
      <c r="CU24" s="597"/>
      <c r="CV24" s="597"/>
      <c r="CW24" s="597"/>
      <c r="CX24" s="597"/>
      <c r="CY24" s="597"/>
      <c r="CZ24" s="597"/>
      <c r="DA24" s="597"/>
    </row>
    <row r="25" spans="1:109" s="202" customFormat="1" ht="12.75" x14ac:dyDescent="0.2">
      <c r="A25" s="614" t="s">
        <v>523</v>
      </c>
      <c r="B25" s="615"/>
      <c r="C25" s="615"/>
      <c r="D25" s="615"/>
      <c r="E25" s="615"/>
      <c r="F25" s="616"/>
      <c r="G25" s="322"/>
      <c r="H25" s="620" t="s">
        <v>215</v>
      </c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0"/>
      <c r="AR25" s="620"/>
      <c r="AS25" s="620"/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620"/>
      <c r="BH25" s="620"/>
      <c r="BI25" s="620"/>
      <c r="BJ25" s="620"/>
      <c r="BK25" s="620"/>
      <c r="BL25" s="620"/>
      <c r="BM25" s="620"/>
      <c r="BN25" s="620"/>
      <c r="BO25" s="620"/>
      <c r="BP25" s="620"/>
      <c r="BQ25" s="620"/>
      <c r="BR25" s="620"/>
      <c r="BS25" s="620"/>
      <c r="BT25" s="620"/>
      <c r="BU25" s="620"/>
      <c r="BV25" s="621"/>
      <c r="BW25" s="622">
        <v>80986387.340000004</v>
      </c>
      <c r="BX25" s="623"/>
      <c r="BY25" s="623"/>
      <c r="BZ25" s="623"/>
      <c r="CA25" s="623"/>
      <c r="CB25" s="623"/>
      <c r="CC25" s="623"/>
      <c r="CD25" s="623"/>
      <c r="CE25" s="623"/>
      <c r="CF25" s="623"/>
      <c r="CG25" s="623"/>
      <c r="CH25" s="623"/>
      <c r="CI25" s="623"/>
      <c r="CJ25" s="623"/>
      <c r="CK25" s="623"/>
      <c r="CL25" s="624"/>
      <c r="CM25" s="628">
        <f>BW25*22%</f>
        <v>17817005.2148</v>
      </c>
      <c r="CN25" s="629"/>
      <c r="CO25" s="629"/>
      <c r="CP25" s="629"/>
      <c r="CQ25" s="629"/>
      <c r="CR25" s="629"/>
      <c r="CS25" s="629"/>
      <c r="CT25" s="629"/>
      <c r="CU25" s="629"/>
      <c r="CV25" s="629"/>
      <c r="CW25" s="629"/>
      <c r="CX25" s="629"/>
      <c r="CY25" s="629"/>
      <c r="CZ25" s="629"/>
      <c r="DA25" s="630"/>
    </row>
    <row r="26" spans="1:109" s="202" customFormat="1" ht="12.75" x14ac:dyDescent="0.2">
      <c r="A26" s="617"/>
      <c r="B26" s="618"/>
      <c r="C26" s="618"/>
      <c r="D26" s="618"/>
      <c r="E26" s="618"/>
      <c r="F26" s="619"/>
      <c r="G26" s="323"/>
      <c r="H26" s="634" t="s">
        <v>524</v>
      </c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5"/>
      <c r="BW26" s="625"/>
      <c r="BX26" s="626"/>
      <c r="BY26" s="626"/>
      <c r="BZ26" s="626"/>
      <c r="CA26" s="626"/>
      <c r="CB26" s="626"/>
      <c r="CC26" s="626"/>
      <c r="CD26" s="626"/>
      <c r="CE26" s="626"/>
      <c r="CF26" s="626"/>
      <c r="CG26" s="626"/>
      <c r="CH26" s="626"/>
      <c r="CI26" s="626"/>
      <c r="CJ26" s="626"/>
      <c r="CK26" s="626"/>
      <c r="CL26" s="627"/>
      <c r="CM26" s="631"/>
      <c r="CN26" s="632"/>
      <c r="CO26" s="632"/>
      <c r="CP26" s="632"/>
      <c r="CQ26" s="632"/>
      <c r="CR26" s="632"/>
      <c r="CS26" s="632"/>
      <c r="CT26" s="632"/>
      <c r="CU26" s="632"/>
      <c r="CV26" s="632"/>
      <c r="CW26" s="632"/>
      <c r="CX26" s="632"/>
      <c r="CY26" s="632"/>
      <c r="CZ26" s="632"/>
      <c r="DA26" s="633"/>
      <c r="DE26" s="202">
        <v>211</v>
      </c>
    </row>
    <row r="27" spans="1:109" s="202" customFormat="1" ht="13.5" customHeight="1" x14ac:dyDescent="0.2">
      <c r="A27" s="595" t="s">
        <v>525</v>
      </c>
      <c r="B27" s="595"/>
      <c r="C27" s="595"/>
      <c r="D27" s="595"/>
      <c r="E27" s="595"/>
      <c r="F27" s="595"/>
      <c r="G27" s="321"/>
      <c r="H27" s="610" t="s">
        <v>526</v>
      </c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0"/>
      <c r="AS27" s="610"/>
      <c r="AT27" s="610"/>
      <c r="AU27" s="610"/>
      <c r="AV27" s="610"/>
      <c r="AW27" s="610"/>
      <c r="AX27" s="610"/>
      <c r="AY27" s="610"/>
      <c r="AZ27" s="610"/>
      <c r="BA27" s="610"/>
      <c r="BB27" s="610"/>
      <c r="BC27" s="610"/>
      <c r="BD27" s="610"/>
      <c r="BE27" s="610"/>
      <c r="BF27" s="610"/>
      <c r="BG27" s="610"/>
      <c r="BH27" s="610"/>
      <c r="BI27" s="610"/>
      <c r="BJ27" s="610"/>
      <c r="BK27" s="610"/>
      <c r="BL27" s="610"/>
      <c r="BM27" s="610"/>
      <c r="BN27" s="610"/>
      <c r="BO27" s="610"/>
      <c r="BP27" s="610"/>
      <c r="BQ27" s="610"/>
      <c r="BR27" s="610"/>
      <c r="BS27" s="610"/>
      <c r="BT27" s="610"/>
      <c r="BU27" s="610"/>
      <c r="BV27" s="611"/>
      <c r="BW27" s="597"/>
      <c r="BX27" s="597"/>
      <c r="BY27" s="597"/>
      <c r="BZ27" s="597"/>
      <c r="CA27" s="597"/>
      <c r="CB27" s="597"/>
      <c r="CC27" s="597"/>
      <c r="CD27" s="597"/>
      <c r="CE27" s="597"/>
      <c r="CF27" s="597"/>
      <c r="CG27" s="597"/>
      <c r="CH27" s="597"/>
      <c r="CI27" s="597"/>
      <c r="CJ27" s="597"/>
      <c r="CK27" s="597"/>
      <c r="CL27" s="597"/>
      <c r="CM27" s="597"/>
      <c r="CN27" s="597"/>
      <c r="CO27" s="597"/>
      <c r="CP27" s="597"/>
      <c r="CQ27" s="597"/>
      <c r="CR27" s="597"/>
      <c r="CS27" s="597"/>
      <c r="CT27" s="597"/>
      <c r="CU27" s="597"/>
      <c r="CV27" s="597"/>
      <c r="CW27" s="597"/>
      <c r="CX27" s="597"/>
      <c r="CY27" s="597"/>
      <c r="CZ27" s="597"/>
      <c r="DA27" s="597"/>
    </row>
    <row r="28" spans="1:109" s="202" customFormat="1" ht="26.25" customHeight="1" x14ac:dyDescent="0.2">
      <c r="A28" s="595" t="s">
        <v>527</v>
      </c>
      <c r="B28" s="595"/>
      <c r="C28" s="595"/>
      <c r="D28" s="595"/>
      <c r="E28" s="595"/>
      <c r="F28" s="595"/>
      <c r="G28" s="321"/>
      <c r="H28" s="610" t="s">
        <v>528</v>
      </c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610"/>
      <c r="BF28" s="610"/>
      <c r="BG28" s="610"/>
      <c r="BH28" s="610"/>
      <c r="BI28" s="610"/>
      <c r="BJ28" s="610"/>
      <c r="BK28" s="610"/>
      <c r="BL28" s="610"/>
      <c r="BM28" s="610"/>
      <c r="BN28" s="610"/>
      <c r="BO28" s="610"/>
      <c r="BP28" s="610"/>
      <c r="BQ28" s="610"/>
      <c r="BR28" s="610"/>
      <c r="BS28" s="610"/>
      <c r="BT28" s="610"/>
      <c r="BU28" s="610"/>
      <c r="BV28" s="611"/>
      <c r="BW28" s="597"/>
      <c r="BX28" s="597"/>
      <c r="BY28" s="597"/>
      <c r="BZ28" s="597"/>
      <c r="CA28" s="597"/>
      <c r="CB28" s="597"/>
      <c r="CC28" s="597"/>
      <c r="CD28" s="597"/>
      <c r="CE28" s="597"/>
      <c r="CF28" s="597"/>
      <c r="CG28" s="597"/>
      <c r="CH28" s="597"/>
      <c r="CI28" s="597"/>
      <c r="CJ28" s="597"/>
      <c r="CK28" s="597"/>
      <c r="CL28" s="597"/>
      <c r="CM28" s="597"/>
      <c r="CN28" s="597"/>
      <c r="CO28" s="597"/>
      <c r="CP28" s="597"/>
      <c r="CQ28" s="597"/>
      <c r="CR28" s="597"/>
      <c r="CS28" s="597"/>
      <c r="CT28" s="597"/>
      <c r="CU28" s="597"/>
      <c r="CV28" s="597"/>
      <c r="CW28" s="597"/>
      <c r="CX28" s="597"/>
      <c r="CY28" s="597"/>
      <c r="CZ28" s="597"/>
      <c r="DA28" s="597"/>
    </row>
    <row r="29" spans="1:109" s="202" customFormat="1" ht="26.25" customHeight="1" x14ac:dyDescent="0.2">
      <c r="A29" s="595" t="s">
        <v>529</v>
      </c>
      <c r="B29" s="595"/>
      <c r="C29" s="595"/>
      <c r="D29" s="595"/>
      <c r="E29" s="595"/>
      <c r="F29" s="595"/>
      <c r="G29" s="321"/>
      <c r="H29" s="612" t="s">
        <v>530</v>
      </c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2"/>
      <c r="AR29" s="612"/>
      <c r="AS29" s="612"/>
      <c r="AT29" s="612"/>
      <c r="AU29" s="612"/>
      <c r="AV29" s="612"/>
      <c r="AW29" s="612"/>
      <c r="AX29" s="612"/>
      <c r="AY29" s="612"/>
      <c r="AZ29" s="612"/>
      <c r="BA29" s="612"/>
      <c r="BB29" s="612"/>
      <c r="BC29" s="612"/>
      <c r="BD29" s="612"/>
      <c r="BE29" s="612"/>
      <c r="BF29" s="612"/>
      <c r="BG29" s="612"/>
      <c r="BH29" s="612"/>
      <c r="BI29" s="612"/>
      <c r="BJ29" s="612"/>
      <c r="BK29" s="612"/>
      <c r="BL29" s="612"/>
      <c r="BM29" s="612"/>
      <c r="BN29" s="612"/>
      <c r="BO29" s="612"/>
      <c r="BP29" s="612"/>
      <c r="BQ29" s="612"/>
      <c r="BR29" s="612"/>
      <c r="BS29" s="612"/>
      <c r="BT29" s="612"/>
      <c r="BU29" s="612"/>
      <c r="BV29" s="613"/>
      <c r="BW29" s="597" t="s">
        <v>487</v>
      </c>
      <c r="BX29" s="597"/>
      <c r="BY29" s="597"/>
      <c r="BZ29" s="597"/>
      <c r="CA29" s="597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597"/>
      <c r="CN29" s="597"/>
      <c r="CO29" s="597"/>
      <c r="CP29" s="597"/>
      <c r="CQ29" s="597"/>
      <c r="CR29" s="597"/>
      <c r="CS29" s="597"/>
      <c r="CT29" s="597"/>
      <c r="CU29" s="597"/>
      <c r="CV29" s="597"/>
      <c r="CW29" s="597"/>
      <c r="CX29" s="597"/>
      <c r="CY29" s="597"/>
      <c r="CZ29" s="597"/>
      <c r="DA29" s="597"/>
    </row>
    <row r="30" spans="1:109" s="202" customFormat="1" ht="12.75" x14ac:dyDescent="0.2">
      <c r="A30" s="614" t="s">
        <v>531</v>
      </c>
      <c r="B30" s="615"/>
      <c r="C30" s="615"/>
      <c r="D30" s="615"/>
      <c r="E30" s="615"/>
      <c r="F30" s="616"/>
      <c r="G30" s="322"/>
      <c r="H30" s="620" t="s">
        <v>215</v>
      </c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620"/>
      <c r="AK30" s="620"/>
      <c r="AL30" s="620"/>
      <c r="AM30" s="620"/>
      <c r="AN30" s="620"/>
      <c r="AO30" s="620"/>
      <c r="AP30" s="620"/>
      <c r="AQ30" s="620"/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620"/>
      <c r="BG30" s="620"/>
      <c r="BH30" s="620"/>
      <c r="BI30" s="620"/>
      <c r="BJ30" s="620"/>
      <c r="BK30" s="620"/>
      <c r="BL30" s="620"/>
      <c r="BM30" s="620"/>
      <c r="BN30" s="620"/>
      <c r="BO30" s="620"/>
      <c r="BP30" s="620"/>
      <c r="BQ30" s="620"/>
      <c r="BR30" s="620"/>
      <c r="BS30" s="620"/>
      <c r="BT30" s="620"/>
      <c r="BU30" s="620"/>
      <c r="BV30" s="621"/>
      <c r="BW30" s="628">
        <f>BW25</f>
        <v>80986387.340000004</v>
      </c>
      <c r="BX30" s="636"/>
      <c r="BY30" s="636"/>
      <c r="BZ30" s="636"/>
      <c r="CA30" s="636"/>
      <c r="CB30" s="636"/>
      <c r="CC30" s="636"/>
      <c r="CD30" s="636"/>
      <c r="CE30" s="636"/>
      <c r="CF30" s="636"/>
      <c r="CG30" s="636"/>
      <c r="CH30" s="636"/>
      <c r="CI30" s="636"/>
      <c r="CJ30" s="636"/>
      <c r="CK30" s="636"/>
      <c r="CL30" s="637"/>
      <c r="CM30" s="628">
        <f>BW30*2.9%</f>
        <v>2348605.2328599999</v>
      </c>
      <c r="CN30" s="629"/>
      <c r="CO30" s="629"/>
      <c r="CP30" s="629"/>
      <c r="CQ30" s="629"/>
      <c r="CR30" s="629"/>
      <c r="CS30" s="629"/>
      <c r="CT30" s="629"/>
      <c r="CU30" s="629"/>
      <c r="CV30" s="629"/>
      <c r="CW30" s="629"/>
      <c r="CX30" s="629"/>
      <c r="CY30" s="629"/>
      <c r="CZ30" s="629"/>
      <c r="DA30" s="630"/>
    </row>
    <row r="31" spans="1:109" s="202" customFormat="1" ht="25.5" customHeight="1" x14ac:dyDescent="0.2">
      <c r="A31" s="617"/>
      <c r="B31" s="618"/>
      <c r="C31" s="618"/>
      <c r="D31" s="618"/>
      <c r="E31" s="618"/>
      <c r="F31" s="619"/>
      <c r="G31" s="323"/>
      <c r="H31" s="634" t="s">
        <v>532</v>
      </c>
      <c r="I31" s="634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5"/>
      <c r="BW31" s="638"/>
      <c r="BX31" s="639"/>
      <c r="BY31" s="639"/>
      <c r="BZ31" s="639"/>
      <c r="CA31" s="639"/>
      <c r="CB31" s="639"/>
      <c r="CC31" s="639"/>
      <c r="CD31" s="639"/>
      <c r="CE31" s="639"/>
      <c r="CF31" s="639"/>
      <c r="CG31" s="639"/>
      <c r="CH31" s="639"/>
      <c r="CI31" s="639"/>
      <c r="CJ31" s="639"/>
      <c r="CK31" s="639"/>
      <c r="CL31" s="640"/>
      <c r="CM31" s="631"/>
      <c r="CN31" s="632"/>
      <c r="CO31" s="632"/>
      <c r="CP31" s="632"/>
      <c r="CQ31" s="632"/>
      <c r="CR31" s="632"/>
      <c r="CS31" s="632"/>
      <c r="CT31" s="632"/>
      <c r="CU31" s="632"/>
      <c r="CV31" s="632"/>
      <c r="CW31" s="632"/>
      <c r="CX31" s="632"/>
      <c r="CY31" s="632"/>
      <c r="CZ31" s="632"/>
      <c r="DA31" s="633"/>
    </row>
    <row r="32" spans="1:109" s="202" customFormat="1" ht="26.25" customHeight="1" x14ac:dyDescent="0.2">
      <c r="A32" s="595" t="s">
        <v>533</v>
      </c>
      <c r="B32" s="595"/>
      <c r="C32" s="595"/>
      <c r="D32" s="595"/>
      <c r="E32" s="595"/>
      <c r="F32" s="595"/>
      <c r="G32" s="321"/>
      <c r="H32" s="610" t="s">
        <v>534</v>
      </c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  <c r="AU32" s="610"/>
      <c r="AV32" s="610"/>
      <c r="AW32" s="610"/>
      <c r="AX32" s="610"/>
      <c r="AY32" s="610"/>
      <c r="AZ32" s="610"/>
      <c r="BA32" s="610"/>
      <c r="BB32" s="610"/>
      <c r="BC32" s="610"/>
      <c r="BD32" s="610"/>
      <c r="BE32" s="610"/>
      <c r="BF32" s="610"/>
      <c r="BG32" s="610"/>
      <c r="BH32" s="610"/>
      <c r="BI32" s="610"/>
      <c r="BJ32" s="610"/>
      <c r="BK32" s="610"/>
      <c r="BL32" s="610"/>
      <c r="BM32" s="610"/>
      <c r="BN32" s="610"/>
      <c r="BO32" s="610"/>
      <c r="BP32" s="610"/>
      <c r="BQ32" s="610"/>
      <c r="BR32" s="610"/>
      <c r="BS32" s="610"/>
      <c r="BT32" s="610"/>
      <c r="BU32" s="610"/>
      <c r="BV32" s="611"/>
      <c r="BW32" s="597"/>
      <c r="BX32" s="597"/>
      <c r="BY32" s="597"/>
      <c r="BZ32" s="597"/>
      <c r="CA32" s="597"/>
      <c r="CB32" s="597"/>
      <c r="CC32" s="597"/>
      <c r="CD32" s="597"/>
      <c r="CE32" s="597"/>
      <c r="CF32" s="597"/>
      <c r="CG32" s="597"/>
      <c r="CH32" s="597"/>
      <c r="CI32" s="597"/>
      <c r="CJ32" s="597"/>
      <c r="CK32" s="597"/>
      <c r="CL32" s="597"/>
      <c r="CM32" s="597"/>
      <c r="CN32" s="597"/>
      <c r="CO32" s="597"/>
      <c r="CP32" s="597"/>
      <c r="CQ32" s="597"/>
      <c r="CR32" s="597"/>
      <c r="CS32" s="597"/>
      <c r="CT32" s="597"/>
      <c r="CU32" s="597"/>
      <c r="CV32" s="597"/>
      <c r="CW32" s="597"/>
      <c r="CX32" s="597"/>
      <c r="CY32" s="597"/>
      <c r="CZ32" s="597"/>
      <c r="DA32" s="597"/>
    </row>
    <row r="33" spans="1:109" s="202" customFormat="1" ht="27" customHeight="1" x14ac:dyDescent="0.2">
      <c r="A33" s="595" t="s">
        <v>535</v>
      </c>
      <c r="B33" s="595"/>
      <c r="C33" s="595"/>
      <c r="D33" s="595"/>
      <c r="E33" s="595"/>
      <c r="F33" s="595"/>
      <c r="G33" s="321"/>
      <c r="H33" s="610" t="s">
        <v>536</v>
      </c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/>
      <c r="AS33" s="610"/>
      <c r="AT33" s="610"/>
      <c r="AU33" s="610"/>
      <c r="AV33" s="610"/>
      <c r="AW33" s="610"/>
      <c r="AX33" s="610"/>
      <c r="AY33" s="610"/>
      <c r="AZ33" s="610"/>
      <c r="BA33" s="610"/>
      <c r="BB33" s="610"/>
      <c r="BC33" s="610"/>
      <c r="BD33" s="610"/>
      <c r="BE33" s="610"/>
      <c r="BF33" s="610"/>
      <c r="BG33" s="610"/>
      <c r="BH33" s="610"/>
      <c r="BI33" s="610"/>
      <c r="BJ33" s="610"/>
      <c r="BK33" s="610"/>
      <c r="BL33" s="610"/>
      <c r="BM33" s="610"/>
      <c r="BN33" s="610"/>
      <c r="BO33" s="610"/>
      <c r="BP33" s="610"/>
      <c r="BQ33" s="610"/>
      <c r="BR33" s="610"/>
      <c r="BS33" s="610"/>
      <c r="BT33" s="610"/>
      <c r="BU33" s="610"/>
      <c r="BV33" s="611"/>
      <c r="BW33" s="601">
        <f>BW25</f>
        <v>80986387.340000004</v>
      </c>
      <c r="BX33" s="597"/>
      <c r="BY33" s="597"/>
      <c r="BZ33" s="597"/>
      <c r="CA33" s="597"/>
      <c r="CB33" s="597"/>
      <c r="CC33" s="597"/>
      <c r="CD33" s="597"/>
      <c r="CE33" s="597"/>
      <c r="CF33" s="597"/>
      <c r="CG33" s="597"/>
      <c r="CH33" s="597"/>
      <c r="CI33" s="597"/>
      <c r="CJ33" s="597"/>
      <c r="CK33" s="597"/>
      <c r="CL33" s="597"/>
      <c r="CM33" s="601">
        <f>BW33*0.2%</f>
        <v>161972.77468</v>
      </c>
      <c r="CN33" s="601"/>
      <c r="CO33" s="601"/>
      <c r="CP33" s="601"/>
      <c r="CQ33" s="601"/>
      <c r="CR33" s="601"/>
      <c r="CS33" s="601"/>
      <c r="CT33" s="601"/>
      <c r="CU33" s="601"/>
      <c r="CV33" s="601"/>
      <c r="CW33" s="601"/>
      <c r="CX33" s="601"/>
      <c r="CY33" s="601"/>
      <c r="CZ33" s="601"/>
      <c r="DA33" s="601"/>
    </row>
    <row r="34" spans="1:109" s="202" customFormat="1" ht="27" customHeight="1" x14ac:dyDescent="0.2">
      <c r="A34" s="595" t="s">
        <v>537</v>
      </c>
      <c r="B34" s="595"/>
      <c r="C34" s="595"/>
      <c r="D34" s="595"/>
      <c r="E34" s="595"/>
      <c r="F34" s="595"/>
      <c r="G34" s="321"/>
      <c r="H34" s="610" t="s">
        <v>538</v>
      </c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610"/>
      <c r="BE34" s="610"/>
      <c r="BF34" s="610"/>
      <c r="BG34" s="610"/>
      <c r="BH34" s="610"/>
      <c r="BI34" s="610"/>
      <c r="BJ34" s="610"/>
      <c r="BK34" s="610"/>
      <c r="BL34" s="610"/>
      <c r="BM34" s="610"/>
      <c r="BN34" s="610"/>
      <c r="BO34" s="610"/>
      <c r="BP34" s="610"/>
      <c r="BQ34" s="610"/>
      <c r="BR34" s="610"/>
      <c r="BS34" s="610"/>
      <c r="BT34" s="610"/>
      <c r="BU34" s="610"/>
      <c r="BV34" s="611"/>
      <c r="BW34" s="597"/>
      <c r="BX34" s="597"/>
      <c r="BY34" s="597"/>
      <c r="BZ34" s="597"/>
      <c r="CA34" s="597"/>
      <c r="CB34" s="597"/>
      <c r="CC34" s="597"/>
      <c r="CD34" s="597"/>
      <c r="CE34" s="597"/>
      <c r="CF34" s="597"/>
      <c r="CG34" s="597"/>
      <c r="CH34" s="597"/>
      <c r="CI34" s="597"/>
      <c r="CJ34" s="597"/>
      <c r="CK34" s="597"/>
      <c r="CL34" s="597"/>
      <c r="CM34" s="597"/>
      <c r="CN34" s="597"/>
      <c r="CO34" s="597"/>
      <c r="CP34" s="597"/>
      <c r="CQ34" s="597"/>
      <c r="CR34" s="597"/>
      <c r="CS34" s="597"/>
      <c r="CT34" s="597"/>
      <c r="CU34" s="597"/>
      <c r="CV34" s="597"/>
      <c r="CW34" s="597"/>
      <c r="CX34" s="597"/>
      <c r="CY34" s="597"/>
      <c r="CZ34" s="597"/>
      <c r="DA34" s="597"/>
    </row>
    <row r="35" spans="1:109" s="202" customFormat="1" ht="27" customHeight="1" x14ac:dyDescent="0.2">
      <c r="A35" s="595" t="s">
        <v>539</v>
      </c>
      <c r="B35" s="595"/>
      <c r="C35" s="595"/>
      <c r="D35" s="595"/>
      <c r="E35" s="595"/>
      <c r="F35" s="595"/>
      <c r="G35" s="321"/>
      <c r="H35" s="610" t="s">
        <v>538</v>
      </c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0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610"/>
      <c r="BE35" s="610"/>
      <c r="BF35" s="610"/>
      <c r="BG35" s="610"/>
      <c r="BH35" s="610"/>
      <c r="BI35" s="610"/>
      <c r="BJ35" s="610"/>
      <c r="BK35" s="61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1"/>
      <c r="BW35" s="597"/>
      <c r="BX35" s="597"/>
      <c r="BY35" s="597"/>
      <c r="BZ35" s="597"/>
      <c r="CA35" s="597"/>
      <c r="CB35" s="597"/>
      <c r="CC35" s="597"/>
      <c r="CD35" s="597"/>
      <c r="CE35" s="597"/>
      <c r="CF35" s="597"/>
      <c r="CG35" s="597"/>
      <c r="CH35" s="597"/>
      <c r="CI35" s="597"/>
      <c r="CJ35" s="597"/>
      <c r="CK35" s="597"/>
      <c r="CL35" s="597"/>
      <c r="CM35" s="597"/>
      <c r="CN35" s="597"/>
      <c r="CO35" s="597"/>
      <c r="CP35" s="597"/>
      <c r="CQ35" s="597"/>
      <c r="CR35" s="597"/>
      <c r="CS35" s="597"/>
      <c r="CT35" s="597"/>
      <c r="CU35" s="597"/>
      <c r="CV35" s="597"/>
      <c r="CW35" s="597"/>
      <c r="CX35" s="597"/>
      <c r="CY35" s="597"/>
      <c r="CZ35" s="597"/>
      <c r="DA35" s="597"/>
    </row>
    <row r="36" spans="1:109" s="202" customFormat="1" ht="26.25" customHeight="1" x14ac:dyDescent="0.2">
      <c r="A36" s="595" t="s">
        <v>540</v>
      </c>
      <c r="B36" s="595"/>
      <c r="C36" s="595"/>
      <c r="D36" s="595"/>
      <c r="E36" s="595"/>
      <c r="F36" s="595"/>
      <c r="G36" s="321"/>
      <c r="H36" s="612" t="s">
        <v>541</v>
      </c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12"/>
      <c r="AJ36" s="612"/>
      <c r="AK36" s="612"/>
      <c r="AL36" s="612"/>
      <c r="AM36" s="612"/>
      <c r="AN36" s="612"/>
      <c r="AO36" s="612"/>
      <c r="AP36" s="612"/>
      <c r="AQ36" s="612"/>
      <c r="AR36" s="612"/>
      <c r="AS36" s="612"/>
      <c r="AT36" s="612"/>
      <c r="AU36" s="612"/>
      <c r="AV36" s="612"/>
      <c r="AW36" s="612"/>
      <c r="AX36" s="612"/>
      <c r="AY36" s="612"/>
      <c r="AZ36" s="612"/>
      <c r="BA36" s="612"/>
      <c r="BB36" s="612"/>
      <c r="BC36" s="612"/>
      <c r="BD36" s="612"/>
      <c r="BE36" s="612"/>
      <c r="BF36" s="612"/>
      <c r="BG36" s="612"/>
      <c r="BH36" s="612"/>
      <c r="BI36" s="612"/>
      <c r="BJ36" s="612"/>
      <c r="BK36" s="612"/>
      <c r="BL36" s="612"/>
      <c r="BM36" s="612"/>
      <c r="BN36" s="612"/>
      <c r="BO36" s="612"/>
      <c r="BP36" s="612"/>
      <c r="BQ36" s="612"/>
      <c r="BR36" s="612"/>
      <c r="BS36" s="612"/>
      <c r="BT36" s="612"/>
      <c r="BU36" s="612"/>
      <c r="BV36" s="613"/>
      <c r="BW36" s="641">
        <f>BW25</f>
        <v>80986387.340000004</v>
      </c>
      <c r="BX36" s="642"/>
      <c r="BY36" s="642"/>
      <c r="BZ36" s="642"/>
      <c r="CA36" s="642"/>
      <c r="CB36" s="642"/>
      <c r="CC36" s="642"/>
      <c r="CD36" s="642"/>
      <c r="CE36" s="642"/>
      <c r="CF36" s="642"/>
      <c r="CG36" s="642"/>
      <c r="CH36" s="642"/>
      <c r="CI36" s="642"/>
      <c r="CJ36" s="642"/>
      <c r="CK36" s="642"/>
      <c r="CL36" s="642"/>
      <c r="CM36" s="641">
        <f>BW36*5.1%</f>
        <v>4130305.75434</v>
      </c>
      <c r="CN36" s="641"/>
      <c r="CO36" s="641"/>
      <c r="CP36" s="641"/>
      <c r="CQ36" s="641"/>
      <c r="CR36" s="641"/>
      <c r="CS36" s="641"/>
      <c r="CT36" s="641"/>
      <c r="CU36" s="641"/>
      <c r="CV36" s="641"/>
      <c r="CW36" s="641"/>
      <c r="CX36" s="641"/>
      <c r="CY36" s="641"/>
      <c r="CZ36" s="641"/>
      <c r="DA36" s="641"/>
    </row>
    <row r="37" spans="1:109" s="202" customFormat="1" ht="13.5" customHeight="1" x14ac:dyDescent="0.2">
      <c r="A37" s="595"/>
      <c r="B37" s="595"/>
      <c r="C37" s="595"/>
      <c r="D37" s="595"/>
      <c r="E37" s="595"/>
      <c r="F37" s="595"/>
      <c r="G37" s="643" t="s">
        <v>610</v>
      </c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606"/>
      <c r="AW37" s="606"/>
      <c r="AX37" s="606"/>
      <c r="AY37" s="606"/>
      <c r="AZ37" s="606"/>
      <c r="BA37" s="606"/>
      <c r="BB37" s="606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7"/>
      <c r="BW37" s="642" t="s">
        <v>487</v>
      </c>
      <c r="BX37" s="642"/>
      <c r="BY37" s="642"/>
      <c r="BZ37" s="642"/>
      <c r="CA37" s="642"/>
      <c r="CB37" s="642"/>
      <c r="CC37" s="642"/>
      <c r="CD37" s="642"/>
      <c r="CE37" s="642"/>
      <c r="CF37" s="642"/>
      <c r="CG37" s="642"/>
      <c r="CH37" s="642"/>
      <c r="CI37" s="642"/>
      <c r="CJ37" s="642"/>
      <c r="CK37" s="642"/>
      <c r="CL37" s="642"/>
      <c r="CM37" s="644">
        <v>23145197.510000002</v>
      </c>
      <c r="CN37" s="645"/>
      <c r="CO37" s="645"/>
      <c r="CP37" s="645"/>
      <c r="CQ37" s="645"/>
      <c r="CR37" s="645"/>
      <c r="CS37" s="645"/>
      <c r="CT37" s="645"/>
      <c r="CU37" s="645"/>
      <c r="CV37" s="645"/>
      <c r="CW37" s="645"/>
      <c r="CX37" s="645"/>
      <c r="CY37" s="645"/>
      <c r="CZ37" s="645"/>
      <c r="DA37" s="645"/>
      <c r="DE37" s="202">
        <v>213</v>
      </c>
    </row>
    <row r="38" spans="1:109" ht="3" customHeight="1" x14ac:dyDescent="0.25"/>
    <row r="39" spans="1:109" s="202" customFormat="1" ht="12" customHeight="1" x14ac:dyDescent="0.2"/>
    <row r="40" spans="1:109" s="315" customFormat="1" ht="14.25" x14ac:dyDescent="0.2">
      <c r="A40" s="609" t="s">
        <v>616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609"/>
      <c r="AB40" s="609"/>
      <c r="AC40" s="609"/>
      <c r="AD40" s="609"/>
      <c r="AE40" s="609"/>
      <c r="AF40" s="609"/>
      <c r="AG40" s="609"/>
      <c r="AH40" s="609"/>
      <c r="AI40" s="609"/>
      <c r="AJ40" s="609"/>
      <c r="AK40" s="609"/>
      <c r="AL40" s="609"/>
      <c r="AM40" s="609"/>
      <c r="AN40" s="609"/>
      <c r="AO40" s="609"/>
      <c r="AP40" s="609"/>
      <c r="AQ40" s="609"/>
      <c r="AR40" s="609"/>
      <c r="AS40" s="609"/>
      <c r="AT40" s="609"/>
      <c r="AU40" s="609"/>
      <c r="AV40" s="609"/>
      <c r="AW40" s="609"/>
      <c r="AX40" s="609"/>
      <c r="AY40" s="609"/>
      <c r="AZ40" s="609"/>
      <c r="BA40" s="609"/>
      <c r="BB40" s="609"/>
      <c r="BC40" s="609"/>
      <c r="BD40" s="609"/>
      <c r="BE40" s="609"/>
      <c r="BF40" s="609"/>
      <c r="BG40" s="609"/>
      <c r="BH40" s="609"/>
      <c r="BI40" s="609"/>
      <c r="BJ40" s="609"/>
      <c r="BK40" s="609"/>
      <c r="BL40" s="609"/>
      <c r="BM40" s="609"/>
      <c r="BN40" s="609"/>
      <c r="BO40" s="609"/>
      <c r="BP40" s="609"/>
      <c r="BQ40" s="609"/>
      <c r="BR40" s="609"/>
      <c r="BS40" s="609"/>
      <c r="BT40" s="609"/>
      <c r="BU40" s="609"/>
      <c r="BV40" s="609"/>
      <c r="BW40" s="609"/>
      <c r="BX40" s="609"/>
      <c r="BY40" s="609"/>
      <c r="BZ40" s="609"/>
      <c r="CA40" s="609"/>
      <c r="CB40" s="609"/>
      <c r="CC40" s="609"/>
      <c r="CD40" s="609"/>
      <c r="CE40" s="609"/>
      <c r="CF40" s="609"/>
      <c r="CG40" s="609"/>
      <c r="CH40" s="609"/>
      <c r="CI40" s="609"/>
      <c r="CJ40" s="609"/>
      <c r="CK40" s="609"/>
      <c r="CL40" s="609"/>
      <c r="CM40" s="609"/>
      <c r="CN40" s="609"/>
      <c r="CO40" s="609"/>
      <c r="CP40" s="609"/>
      <c r="CQ40" s="609"/>
      <c r="CR40" s="609"/>
      <c r="CS40" s="609"/>
      <c r="CT40" s="609"/>
      <c r="CU40" s="609"/>
      <c r="CV40" s="609"/>
      <c r="CW40" s="609"/>
      <c r="CX40" s="609"/>
      <c r="CY40" s="609"/>
      <c r="CZ40" s="609"/>
      <c r="DA40" s="609"/>
      <c r="DE40" s="320"/>
    </row>
    <row r="41" spans="1:109" ht="6" customHeight="1" x14ac:dyDescent="0.25">
      <c r="DE41" s="316"/>
    </row>
    <row r="42" spans="1:109" ht="10.5" customHeight="1" x14ac:dyDescent="0.25">
      <c r="DE42" s="317"/>
    </row>
    <row r="43" spans="1:109" s="318" customFormat="1" ht="55.5" customHeight="1" x14ac:dyDescent="0.25">
      <c r="A43" s="592" t="s">
        <v>146</v>
      </c>
      <c r="B43" s="593"/>
      <c r="C43" s="593"/>
      <c r="D43" s="593"/>
      <c r="E43" s="593"/>
      <c r="F43" s="593"/>
      <c r="G43" s="594"/>
      <c r="H43" s="592" t="s">
        <v>617</v>
      </c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593"/>
      <c r="V43" s="593"/>
      <c r="W43" s="593"/>
      <c r="X43" s="593"/>
      <c r="Y43" s="593"/>
      <c r="Z43" s="593"/>
      <c r="AA43" s="59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3"/>
      <c r="AR43" s="593"/>
      <c r="AS43" s="593"/>
      <c r="AT43" s="593"/>
      <c r="AU43" s="593"/>
      <c r="AV43" s="593"/>
      <c r="AW43" s="593"/>
      <c r="AX43" s="593"/>
      <c r="AY43" s="593"/>
      <c r="AZ43" s="593"/>
      <c r="BA43" s="593"/>
      <c r="BB43" s="593"/>
      <c r="BC43" s="594"/>
      <c r="BD43" s="592" t="s">
        <v>618</v>
      </c>
      <c r="BE43" s="593"/>
      <c r="BF43" s="593"/>
      <c r="BG43" s="593"/>
      <c r="BH43" s="593"/>
      <c r="BI43" s="593"/>
      <c r="BJ43" s="593"/>
      <c r="BK43" s="593"/>
      <c r="BL43" s="593"/>
      <c r="BM43" s="593"/>
      <c r="BN43" s="593"/>
      <c r="BO43" s="593"/>
      <c r="BP43" s="593"/>
      <c r="BQ43" s="593"/>
      <c r="BR43" s="593"/>
      <c r="BS43" s="594"/>
      <c r="BT43" s="592" t="s">
        <v>619</v>
      </c>
      <c r="BU43" s="593"/>
      <c r="BV43" s="593"/>
      <c r="BW43" s="593"/>
      <c r="BX43" s="593"/>
      <c r="BY43" s="593"/>
      <c r="BZ43" s="593"/>
      <c r="CA43" s="593"/>
      <c r="CB43" s="593"/>
      <c r="CC43" s="593"/>
      <c r="CD43" s="594"/>
      <c r="CE43" s="592" t="s">
        <v>620</v>
      </c>
      <c r="CF43" s="593"/>
      <c r="CG43" s="593"/>
      <c r="CH43" s="593"/>
      <c r="CI43" s="593"/>
      <c r="CJ43" s="593"/>
      <c r="CK43" s="593"/>
      <c r="CL43" s="593"/>
      <c r="CM43" s="593"/>
      <c r="CN43" s="593"/>
      <c r="CO43" s="593"/>
      <c r="CP43" s="593"/>
      <c r="CQ43" s="593"/>
      <c r="CR43" s="593"/>
      <c r="CS43" s="593"/>
      <c r="CT43" s="593"/>
      <c r="CU43" s="593"/>
      <c r="CV43" s="593"/>
      <c r="CW43" s="593"/>
      <c r="CX43" s="593"/>
      <c r="CY43" s="593"/>
      <c r="CZ43" s="593"/>
      <c r="DA43" s="594"/>
      <c r="DE43" s="317"/>
    </row>
    <row r="44" spans="1:109" s="209" customFormat="1" ht="12.75" x14ac:dyDescent="0.25">
      <c r="A44" s="602">
        <v>1</v>
      </c>
      <c r="B44" s="602"/>
      <c r="C44" s="602"/>
      <c r="D44" s="602"/>
      <c r="E44" s="602"/>
      <c r="F44" s="602"/>
      <c r="G44" s="602"/>
      <c r="H44" s="602">
        <v>2</v>
      </c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  <c r="AH44" s="602"/>
      <c r="AI44" s="602"/>
      <c r="AJ44" s="602"/>
      <c r="AK44" s="602"/>
      <c r="AL44" s="602"/>
      <c r="AM44" s="602"/>
      <c r="AN44" s="602"/>
      <c r="AO44" s="602"/>
      <c r="AP44" s="602"/>
      <c r="AQ44" s="602"/>
      <c r="AR44" s="602"/>
      <c r="AS44" s="602"/>
      <c r="AT44" s="602"/>
      <c r="AU44" s="602"/>
      <c r="AV44" s="602"/>
      <c r="AW44" s="602"/>
      <c r="AX44" s="602"/>
      <c r="AY44" s="602"/>
      <c r="AZ44" s="602"/>
      <c r="BA44" s="602"/>
      <c r="BB44" s="602"/>
      <c r="BC44" s="602"/>
      <c r="BD44" s="602">
        <v>3</v>
      </c>
      <c r="BE44" s="602"/>
      <c r="BF44" s="602"/>
      <c r="BG44" s="602"/>
      <c r="BH44" s="602"/>
      <c r="BI44" s="602"/>
      <c r="BJ44" s="602"/>
      <c r="BK44" s="602"/>
      <c r="BL44" s="602"/>
      <c r="BM44" s="602"/>
      <c r="BN44" s="602"/>
      <c r="BO44" s="602"/>
      <c r="BP44" s="602"/>
      <c r="BQ44" s="602"/>
      <c r="BR44" s="602"/>
      <c r="BS44" s="602"/>
      <c r="BT44" s="602">
        <v>4</v>
      </c>
      <c r="BU44" s="602"/>
      <c r="BV44" s="602"/>
      <c r="BW44" s="602"/>
      <c r="BX44" s="602"/>
      <c r="BY44" s="602"/>
      <c r="BZ44" s="602"/>
      <c r="CA44" s="602"/>
      <c r="CB44" s="602"/>
      <c r="CC44" s="602"/>
      <c r="CD44" s="602"/>
      <c r="CE44" s="602">
        <v>5</v>
      </c>
      <c r="CF44" s="602"/>
      <c r="CG44" s="602"/>
      <c r="CH44" s="602"/>
      <c r="CI44" s="602"/>
      <c r="CJ44" s="602"/>
      <c r="CK44" s="602"/>
      <c r="CL44" s="602"/>
      <c r="CM44" s="602"/>
      <c r="CN44" s="602"/>
      <c r="CO44" s="602"/>
      <c r="CP44" s="602"/>
      <c r="CQ44" s="602"/>
      <c r="CR44" s="602"/>
      <c r="CS44" s="602"/>
      <c r="CT44" s="602"/>
      <c r="CU44" s="602"/>
      <c r="CV44" s="602"/>
      <c r="CW44" s="602"/>
      <c r="CX44" s="602"/>
      <c r="CY44" s="602"/>
      <c r="CZ44" s="602"/>
      <c r="DA44" s="602"/>
      <c r="DE44" s="317"/>
    </row>
    <row r="45" spans="1:109" s="317" customFormat="1" ht="15" customHeight="1" x14ac:dyDescent="0.25">
      <c r="A45" s="595" t="s">
        <v>381</v>
      </c>
      <c r="B45" s="595"/>
      <c r="C45" s="595"/>
      <c r="D45" s="595"/>
      <c r="E45" s="595"/>
      <c r="F45" s="595"/>
      <c r="G45" s="595"/>
      <c r="H45" s="596" t="s">
        <v>151</v>
      </c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  <c r="AS45" s="596"/>
      <c r="AT45" s="596"/>
      <c r="AU45" s="596"/>
      <c r="AV45" s="596"/>
      <c r="AW45" s="596"/>
      <c r="AX45" s="596"/>
      <c r="AY45" s="596"/>
      <c r="AZ45" s="596"/>
      <c r="BA45" s="596"/>
      <c r="BB45" s="596"/>
      <c r="BC45" s="596"/>
      <c r="BD45" s="603">
        <v>16191503</v>
      </c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5"/>
      <c r="BT45" s="597">
        <v>1.5</v>
      </c>
      <c r="BU45" s="597"/>
      <c r="BV45" s="597"/>
      <c r="BW45" s="597"/>
      <c r="BX45" s="597"/>
      <c r="BY45" s="597"/>
      <c r="BZ45" s="597"/>
      <c r="CA45" s="597"/>
      <c r="CB45" s="597"/>
      <c r="CC45" s="597"/>
      <c r="CD45" s="597"/>
      <c r="CE45" s="601">
        <v>204125</v>
      </c>
      <c r="CF45" s="601"/>
      <c r="CG45" s="601"/>
      <c r="CH45" s="601"/>
      <c r="CI45" s="601"/>
      <c r="CJ45" s="601"/>
      <c r="CK45" s="601"/>
      <c r="CL45" s="601"/>
      <c r="CM45" s="601"/>
      <c r="CN45" s="601"/>
      <c r="CO45" s="601"/>
      <c r="CP45" s="601"/>
      <c r="CQ45" s="601"/>
      <c r="CR45" s="601"/>
      <c r="CS45" s="601"/>
      <c r="CT45" s="601"/>
      <c r="CU45" s="601"/>
      <c r="CV45" s="601"/>
      <c r="CW45" s="601"/>
      <c r="CX45" s="601"/>
      <c r="CY45" s="601"/>
      <c r="CZ45" s="601"/>
      <c r="DA45" s="601"/>
      <c r="DE45" s="317">
        <v>291</v>
      </c>
    </row>
    <row r="46" spans="1:109" s="317" customFormat="1" ht="15" customHeight="1" x14ac:dyDescent="0.2">
      <c r="A46" s="595" t="s">
        <v>390</v>
      </c>
      <c r="B46" s="595"/>
      <c r="C46" s="595"/>
      <c r="D46" s="595"/>
      <c r="E46" s="595"/>
      <c r="F46" s="595"/>
      <c r="G46" s="595"/>
      <c r="H46" s="596" t="s">
        <v>152</v>
      </c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6"/>
      <c r="X46" s="596"/>
      <c r="Y46" s="596"/>
      <c r="Z46" s="596"/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6"/>
      <c r="AN46" s="596"/>
      <c r="AO46" s="596"/>
      <c r="AP46" s="596"/>
      <c r="AQ46" s="596"/>
      <c r="AR46" s="596"/>
      <c r="AS46" s="596"/>
      <c r="AT46" s="596"/>
      <c r="AU46" s="596"/>
      <c r="AV46" s="596"/>
      <c r="AW46" s="596"/>
      <c r="AX46" s="596"/>
      <c r="AY46" s="596"/>
      <c r="AZ46" s="596"/>
      <c r="BA46" s="596"/>
      <c r="BB46" s="596"/>
      <c r="BC46" s="596"/>
      <c r="BD46" s="601">
        <v>10343004.779999999</v>
      </c>
      <c r="BE46" s="601"/>
      <c r="BF46" s="601"/>
      <c r="BG46" s="601"/>
      <c r="BH46" s="601"/>
      <c r="BI46" s="601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597">
        <v>2.2000000000000002</v>
      </c>
      <c r="BU46" s="597"/>
      <c r="BV46" s="597"/>
      <c r="BW46" s="597"/>
      <c r="BX46" s="597"/>
      <c r="BY46" s="597"/>
      <c r="BZ46" s="597"/>
      <c r="CA46" s="597"/>
      <c r="CB46" s="597"/>
      <c r="CC46" s="597"/>
      <c r="CD46" s="597"/>
      <c r="CE46" s="601">
        <v>170844</v>
      </c>
      <c r="CF46" s="601"/>
      <c r="CG46" s="601"/>
      <c r="CH46" s="601"/>
      <c r="CI46" s="601"/>
      <c r="CJ46" s="601"/>
      <c r="CK46" s="601"/>
      <c r="CL46" s="601"/>
      <c r="CM46" s="601"/>
      <c r="CN46" s="601"/>
      <c r="CO46" s="601"/>
      <c r="CP46" s="601"/>
      <c r="CQ46" s="601"/>
      <c r="CR46" s="601"/>
      <c r="CS46" s="601"/>
      <c r="CT46" s="601"/>
      <c r="CU46" s="601"/>
      <c r="CV46" s="601"/>
      <c r="CW46" s="601"/>
      <c r="CX46" s="601"/>
      <c r="CY46" s="601"/>
      <c r="CZ46" s="601"/>
      <c r="DA46" s="601"/>
      <c r="DE46" s="202" t="s">
        <v>621</v>
      </c>
    </row>
    <row r="47" spans="1:109" s="317" customFormat="1" ht="15" customHeight="1" x14ac:dyDescent="0.2">
      <c r="A47" s="595" t="s">
        <v>390</v>
      </c>
      <c r="B47" s="595"/>
      <c r="C47" s="595"/>
      <c r="D47" s="595"/>
      <c r="E47" s="595"/>
      <c r="F47" s="595"/>
      <c r="G47" s="595"/>
      <c r="H47" s="596" t="s">
        <v>622</v>
      </c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601">
        <v>0</v>
      </c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597">
        <v>0</v>
      </c>
      <c r="BU47" s="597"/>
      <c r="BV47" s="597"/>
      <c r="BW47" s="597"/>
      <c r="BX47" s="597"/>
      <c r="BY47" s="597"/>
      <c r="BZ47" s="597"/>
      <c r="CA47" s="597"/>
      <c r="CB47" s="597"/>
      <c r="CC47" s="597"/>
      <c r="CD47" s="597"/>
      <c r="CE47" s="601">
        <v>136853.25</v>
      </c>
      <c r="CF47" s="601"/>
      <c r="CG47" s="601"/>
      <c r="CH47" s="601"/>
      <c r="CI47" s="601"/>
      <c r="CJ47" s="601"/>
      <c r="CK47" s="601"/>
      <c r="CL47" s="601"/>
      <c r="CM47" s="601"/>
      <c r="CN47" s="601"/>
      <c r="CO47" s="601"/>
      <c r="CP47" s="601"/>
      <c r="CQ47" s="601"/>
      <c r="CR47" s="601"/>
      <c r="CS47" s="601"/>
      <c r="CT47" s="601"/>
      <c r="CU47" s="601"/>
      <c r="CV47" s="601"/>
      <c r="CW47" s="601"/>
      <c r="CX47" s="601"/>
      <c r="CY47" s="601"/>
      <c r="CZ47" s="601"/>
      <c r="DA47" s="601"/>
      <c r="DE47" s="202"/>
    </row>
    <row r="48" spans="1:109" s="317" customFormat="1" ht="15" customHeight="1" x14ac:dyDescent="0.2">
      <c r="A48" s="595"/>
      <c r="B48" s="595"/>
      <c r="C48" s="595"/>
      <c r="D48" s="595"/>
      <c r="E48" s="595"/>
      <c r="F48" s="595"/>
      <c r="G48" s="595"/>
      <c r="H48" s="606" t="s">
        <v>610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6"/>
      <c r="T48" s="606"/>
      <c r="U48" s="606"/>
      <c r="V48" s="606"/>
      <c r="W48" s="606"/>
      <c r="X48" s="606"/>
      <c r="Y48" s="606"/>
      <c r="Z48" s="606"/>
      <c r="AA48" s="606"/>
      <c r="AB48" s="606"/>
      <c r="AC48" s="606"/>
      <c r="AD48" s="606"/>
      <c r="AE48" s="606"/>
      <c r="AF48" s="606"/>
      <c r="AG48" s="606"/>
      <c r="AH48" s="606"/>
      <c r="AI48" s="606"/>
      <c r="AJ48" s="606"/>
      <c r="AK48" s="606"/>
      <c r="AL48" s="606"/>
      <c r="AM48" s="606"/>
      <c r="AN48" s="606"/>
      <c r="AO48" s="606"/>
      <c r="AP48" s="606"/>
      <c r="AQ48" s="606"/>
      <c r="AR48" s="606"/>
      <c r="AS48" s="606"/>
      <c r="AT48" s="606"/>
      <c r="AU48" s="606"/>
      <c r="AV48" s="606"/>
      <c r="AW48" s="606"/>
      <c r="AX48" s="606"/>
      <c r="AY48" s="606"/>
      <c r="AZ48" s="606"/>
      <c r="BA48" s="606"/>
      <c r="BB48" s="606"/>
      <c r="BC48" s="607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 t="s">
        <v>487</v>
      </c>
      <c r="BU48" s="597"/>
      <c r="BV48" s="597"/>
      <c r="BW48" s="597"/>
      <c r="BX48" s="597"/>
      <c r="BY48" s="597"/>
      <c r="BZ48" s="597"/>
      <c r="CA48" s="597"/>
      <c r="CB48" s="597"/>
      <c r="CC48" s="597"/>
      <c r="CD48" s="597"/>
      <c r="CE48" s="608">
        <f>CE45+CE46+CE47</f>
        <v>511822.25</v>
      </c>
      <c r="CF48" s="646"/>
      <c r="CG48" s="646"/>
      <c r="CH48" s="646"/>
      <c r="CI48" s="646"/>
      <c r="CJ48" s="646"/>
      <c r="CK48" s="646"/>
      <c r="CL48" s="646"/>
      <c r="CM48" s="646"/>
      <c r="CN48" s="646"/>
      <c r="CO48" s="646"/>
      <c r="CP48" s="646"/>
      <c r="CQ48" s="646"/>
      <c r="CR48" s="646"/>
      <c r="CS48" s="646"/>
      <c r="CT48" s="646"/>
      <c r="CU48" s="646"/>
      <c r="CV48" s="646"/>
      <c r="CW48" s="646"/>
      <c r="CX48" s="646"/>
      <c r="CY48" s="646"/>
      <c r="CZ48" s="646"/>
      <c r="DA48" s="646"/>
      <c r="DE48" s="202">
        <v>290</v>
      </c>
    </row>
    <row r="49" spans="1:110" ht="13.5" customHeight="1" x14ac:dyDescent="0.25"/>
    <row r="52" spans="1:110" s="315" customFormat="1" ht="14.25" x14ac:dyDescent="0.2">
      <c r="A52" s="609" t="s">
        <v>623</v>
      </c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  <c r="AY52" s="609"/>
      <c r="AZ52" s="609"/>
      <c r="BA52" s="609"/>
      <c r="BB52" s="609"/>
      <c r="BC52" s="609"/>
      <c r="BD52" s="609"/>
      <c r="BE52" s="609"/>
      <c r="BF52" s="609"/>
      <c r="BG52" s="609"/>
      <c r="BH52" s="609"/>
      <c r="BI52" s="609"/>
      <c r="BJ52" s="609"/>
      <c r="BK52" s="609"/>
      <c r="BL52" s="609"/>
      <c r="BM52" s="609"/>
      <c r="BN52" s="609"/>
      <c r="BO52" s="609"/>
      <c r="BP52" s="609"/>
      <c r="BQ52" s="609"/>
      <c r="BR52" s="609"/>
      <c r="BS52" s="609"/>
      <c r="BT52" s="609"/>
      <c r="BU52" s="609"/>
      <c r="BV52" s="609"/>
      <c r="BW52" s="609"/>
      <c r="BX52" s="609"/>
      <c r="BY52" s="609"/>
      <c r="BZ52" s="609"/>
      <c r="CA52" s="609"/>
      <c r="CB52" s="609"/>
      <c r="CC52" s="609"/>
      <c r="CD52" s="609"/>
      <c r="CE52" s="609"/>
      <c r="CF52" s="609"/>
      <c r="CG52" s="609"/>
      <c r="CH52" s="609"/>
      <c r="CI52" s="609"/>
      <c r="CJ52" s="609"/>
      <c r="CK52" s="609"/>
      <c r="CL52" s="609"/>
      <c r="CM52" s="609"/>
      <c r="CN52" s="609"/>
      <c r="CO52" s="609"/>
      <c r="CP52" s="609"/>
      <c r="CQ52" s="609"/>
      <c r="CR52" s="609"/>
      <c r="CS52" s="609"/>
      <c r="CT52" s="609"/>
      <c r="CU52" s="609"/>
      <c r="CV52" s="609"/>
      <c r="CW52" s="609"/>
      <c r="CX52" s="609"/>
      <c r="CY52" s="609"/>
      <c r="CZ52" s="609"/>
      <c r="DA52" s="609"/>
      <c r="DE52" s="319"/>
    </row>
    <row r="53" spans="1:110" ht="6" customHeight="1" x14ac:dyDescent="0.25"/>
    <row r="54" spans="1:110" ht="10.5" customHeight="1" x14ac:dyDescent="0.25">
      <c r="DE54" s="320"/>
    </row>
    <row r="55" spans="1:110" s="315" customFormat="1" ht="14.25" x14ac:dyDescent="0.2">
      <c r="A55" s="609" t="s">
        <v>624</v>
      </c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09"/>
      <c r="AA55" s="609"/>
      <c r="AB55" s="609"/>
      <c r="AC55" s="609"/>
      <c r="AD55" s="609"/>
      <c r="AE55" s="609"/>
      <c r="AF55" s="609"/>
      <c r="AG55" s="609"/>
      <c r="AH55" s="609"/>
      <c r="AI55" s="609"/>
      <c r="AJ55" s="609"/>
      <c r="AK55" s="609"/>
      <c r="AL55" s="609"/>
      <c r="AM55" s="609"/>
      <c r="AN55" s="609"/>
      <c r="AO55" s="609"/>
      <c r="AP55" s="609"/>
      <c r="AQ55" s="609"/>
      <c r="AR55" s="609"/>
      <c r="AS55" s="609"/>
      <c r="AT55" s="609"/>
      <c r="AU55" s="609"/>
      <c r="AV55" s="609"/>
      <c r="AW55" s="609"/>
      <c r="AX55" s="609"/>
      <c r="AY55" s="609"/>
      <c r="AZ55" s="609"/>
      <c r="BA55" s="609"/>
      <c r="BB55" s="609"/>
      <c r="BC55" s="609"/>
      <c r="BD55" s="609"/>
      <c r="BE55" s="609"/>
      <c r="BF55" s="609"/>
      <c r="BG55" s="609"/>
      <c r="BH55" s="609"/>
      <c r="BI55" s="609"/>
      <c r="BJ55" s="609"/>
      <c r="BK55" s="609"/>
      <c r="BL55" s="609"/>
      <c r="BM55" s="609"/>
      <c r="BN55" s="609"/>
      <c r="BO55" s="609"/>
      <c r="BP55" s="609"/>
      <c r="BQ55" s="609"/>
      <c r="BR55" s="609"/>
      <c r="BS55" s="609"/>
      <c r="BT55" s="609"/>
      <c r="BU55" s="609"/>
      <c r="BV55" s="609"/>
      <c r="BW55" s="609"/>
      <c r="BX55" s="609"/>
      <c r="BY55" s="609"/>
      <c r="BZ55" s="609"/>
      <c r="CA55" s="609"/>
      <c r="CB55" s="609"/>
      <c r="CC55" s="609"/>
      <c r="CD55" s="609"/>
      <c r="CE55" s="609"/>
      <c r="CF55" s="609"/>
      <c r="CG55" s="609"/>
      <c r="CH55" s="609"/>
      <c r="CI55" s="609"/>
      <c r="CJ55" s="609"/>
      <c r="CK55" s="609"/>
      <c r="CL55" s="609"/>
      <c r="CM55" s="609"/>
      <c r="CN55" s="609"/>
      <c r="CO55" s="609"/>
      <c r="CP55" s="609"/>
      <c r="CQ55" s="609"/>
      <c r="CR55" s="609"/>
      <c r="CS55" s="609"/>
      <c r="CT55" s="609"/>
      <c r="CU55" s="609"/>
      <c r="CV55" s="609"/>
      <c r="CW55" s="609"/>
      <c r="CX55" s="609"/>
      <c r="CY55" s="609"/>
      <c r="CZ55" s="609"/>
      <c r="DA55" s="609"/>
      <c r="DE55" s="316"/>
    </row>
    <row r="56" spans="1:110" ht="10.5" customHeight="1" x14ac:dyDescent="0.25">
      <c r="DE56" s="317"/>
    </row>
    <row r="57" spans="1:110" s="318" customFormat="1" ht="45" customHeight="1" x14ac:dyDescent="0.25">
      <c r="A57" s="647" t="s">
        <v>146</v>
      </c>
      <c r="B57" s="648"/>
      <c r="C57" s="648"/>
      <c r="D57" s="648"/>
      <c r="E57" s="648"/>
      <c r="F57" s="648"/>
      <c r="G57" s="649"/>
      <c r="H57" s="647" t="s">
        <v>617</v>
      </c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8"/>
      <c r="U57" s="648"/>
      <c r="V57" s="648"/>
      <c r="W57" s="648"/>
      <c r="X57" s="648"/>
      <c r="Y57" s="648"/>
      <c r="Z57" s="648"/>
      <c r="AA57" s="648"/>
      <c r="AB57" s="648"/>
      <c r="AC57" s="648"/>
      <c r="AD57" s="648"/>
      <c r="AE57" s="648"/>
      <c r="AF57" s="648"/>
      <c r="AG57" s="648"/>
      <c r="AH57" s="648"/>
      <c r="AI57" s="648"/>
      <c r="AJ57" s="648"/>
      <c r="AK57" s="648"/>
      <c r="AL57" s="648"/>
      <c r="AM57" s="648"/>
      <c r="AN57" s="648"/>
      <c r="AO57" s="649"/>
      <c r="AP57" s="647" t="s">
        <v>2</v>
      </c>
      <c r="AQ57" s="648"/>
      <c r="AR57" s="648"/>
      <c r="AS57" s="648"/>
      <c r="AT57" s="648"/>
      <c r="AU57" s="648"/>
      <c r="AV57" s="648"/>
      <c r="AW57" s="648"/>
      <c r="AX57" s="648"/>
      <c r="AY57" s="648"/>
      <c r="AZ57" s="648"/>
      <c r="BA57" s="648"/>
      <c r="BB57" s="648"/>
      <c r="BC57" s="648"/>
      <c r="BD57" s="648"/>
      <c r="BE57" s="649"/>
      <c r="BF57" s="647" t="s">
        <v>625</v>
      </c>
      <c r="BG57" s="648"/>
      <c r="BH57" s="648"/>
      <c r="BI57" s="648"/>
      <c r="BJ57" s="648"/>
      <c r="BK57" s="648"/>
      <c r="BL57" s="648"/>
      <c r="BM57" s="648"/>
      <c r="BN57" s="648"/>
      <c r="BO57" s="648"/>
      <c r="BP57" s="648"/>
      <c r="BQ57" s="648"/>
      <c r="BR57" s="648"/>
      <c r="BS57" s="648"/>
      <c r="BT57" s="648"/>
      <c r="BU57" s="649"/>
      <c r="BV57" s="647" t="s">
        <v>626</v>
      </c>
      <c r="BW57" s="648"/>
      <c r="BX57" s="648"/>
      <c r="BY57" s="648"/>
      <c r="BZ57" s="648"/>
      <c r="CA57" s="648"/>
      <c r="CB57" s="648"/>
      <c r="CC57" s="648"/>
      <c r="CD57" s="648"/>
      <c r="CE57" s="648"/>
      <c r="CF57" s="648"/>
      <c r="CG57" s="648"/>
      <c r="CH57" s="648"/>
      <c r="CI57" s="648"/>
      <c r="CJ57" s="648"/>
      <c r="CK57" s="649"/>
      <c r="CL57" s="647" t="s">
        <v>604</v>
      </c>
      <c r="CM57" s="648"/>
      <c r="CN57" s="648"/>
      <c r="CO57" s="648"/>
      <c r="CP57" s="648"/>
      <c r="CQ57" s="648"/>
      <c r="CR57" s="648"/>
      <c r="CS57" s="648"/>
      <c r="CT57" s="648"/>
      <c r="CU57" s="648"/>
      <c r="CV57" s="648"/>
      <c r="CW57" s="648"/>
      <c r="CX57" s="648"/>
      <c r="CY57" s="648"/>
      <c r="CZ57" s="648"/>
      <c r="DA57" s="649"/>
      <c r="DE57" s="317"/>
    </row>
    <row r="58" spans="1:110" s="209" customFormat="1" ht="12.75" x14ac:dyDescent="0.25">
      <c r="A58" s="602">
        <v>1</v>
      </c>
      <c r="B58" s="602"/>
      <c r="C58" s="602"/>
      <c r="D58" s="602"/>
      <c r="E58" s="602"/>
      <c r="F58" s="602"/>
      <c r="G58" s="602"/>
      <c r="H58" s="602">
        <v>2</v>
      </c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602"/>
      <c r="AJ58" s="602"/>
      <c r="AK58" s="602"/>
      <c r="AL58" s="602"/>
      <c r="AM58" s="602"/>
      <c r="AN58" s="602"/>
      <c r="AO58" s="602"/>
      <c r="AP58" s="602">
        <v>3</v>
      </c>
      <c r="AQ58" s="602"/>
      <c r="AR58" s="602"/>
      <c r="AS58" s="602"/>
      <c r="AT58" s="602"/>
      <c r="AU58" s="602"/>
      <c r="AV58" s="602"/>
      <c r="AW58" s="602"/>
      <c r="AX58" s="602"/>
      <c r="AY58" s="602"/>
      <c r="AZ58" s="602"/>
      <c r="BA58" s="602"/>
      <c r="BB58" s="602"/>
      <c r="BC58" s="602"/>
      <c r="BD58" s="602"/>
      <c r="BE58" s="602"/>
      <c r="BF58" s="602">
        <v>4</v>
      </c>
      <c r="BG58" s="602"/>
      <c r="BH58" s="602"/>
      <c r="BI58" s="602"/>
      <c r="BJ58" s="602"/>
      <c r="BK58" s="602"/>
      <c r="BL58" s="602"/>
      <c r="BM58" s="602"/>
      <c r="BN58" s="602"/>
      <c r="BO58" s="602"/>
      <c r="BP58" s="602"/>
      <c r="BQ58" s="602"/>
      <c r="BR58" s="602"/>
      <c r="BS58" s="602"/>
      <c r="BT58" s="602"/>
      <c r="BU58" s="602"/>
      <c r="BV58" s="602">
        <v>5</v>
      </c>
      <c r="BW58" s="602"/>
      <c r="BX58" s="602"/>
      <c r="BY58" s="602"/>
      <c r="BZ58" s="602"/>
      <c r="CA58" s="602"/>
      <c r="CB58" s="602"/>
      <c r="CC58" s="602"/>
      <c r="CD58" s="602"/>
      <c r="CE58" s="602"/>
      <c r="CF58" s="602"/>
      <c r="CG58" s="602"/>
      <c r="CH58" s="602"/>
      <c r="CI58" s="602"/>
      <c r="CJ58" s="602"/>
      <c r="CK58" s="602"/>
      <c r="CL58" s="602">
        <v>6</v>
      </c>
      <c r="CM58" s="602"/>
      <c r="CN58" s="602"/>
      <c r="CO58" s="602"/>
      <c r="CP58" s="602"/>
      <c r="CQ58" s="602"/>
      <c r="CR58" s="602"/>
      <c r="CS58" s="602"/>
      <c r="CT58" s="602"/>
      <c r="CU58" s="602"/>
      <c r="CV58" s="602"/>
      <c r="CW58" s="602"/>
      <c r="CX58" s="602"/>
      <c r="CY58" s="602"/>
      <c r="CZ58" s="602"/>
      <c r="DA58" s="602"/>
      <c r="DE58" s="317"/>
    </row>
    <row r="59" spans="1:110" s="317" customFormat="1" ht="12.75" x14ac:dyDescent="0.25">
      <c r="A59" s="595" t="s">
        <v>381</v>
      </c>
      <c r="B59" s="595"/>
      <c r="C59" s="595"/>
      <c r="D59" s="595"/>
      <c r="E59" s="595"/>
      <c r="F59" s="595"/>
      <c r="G59" s="595"/>
      <c r="H59" s="596" t="s">
        <v>627</v>
      </c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7">
        <v>12</v>
      </c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597"/>
      <c r="BB59" s="597"/>
      <c r="BC59" s="597"/>
      <c r="BD59" s="597"/>
      <c r="BE59" s="597"/>
      <c r="BF59" s="597">
        <v>12</v>
      </c>
      <c r="BG59" s="597"/>
      <c r="BH59" s="597"/>
      <c r="BI59" s="597"/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7"/>
      <c r="BV59" s="601">
        <v>966.5</v>
      </c>
      <c r="BW59" s="601"/>
      <c r="BX59" s="601"/>
      <c r="BY59" s="601"/>
      <c r="BZ59" s="601"/>
      <c r="CA59" s="601"/>
      <c r="CB59" s="601"/>
      <c r="CC59" s="601"/>
      <c r="CD59" s="601"/>
      <c r="CE59" s="601"/>
      <c r="CF59" s="601"/>
      <c r="CG59" s="601"/>
      <c r="CH59" s="601"/>
      <c r="CI59" s="601"/>
      <c r="CJ59" s="601"/>
      <c r="CK59" s="601"/>
      <c r="CL59" s="601">
        <f>AP59*BF59*BV59+3790.89</f>
        <v>142966.89000000001</v>
      </c>
      <c r="CM59" s="601"/>
      <c r="CN59" s="601"/>
      <c r="CO59" s="601"/>
      <c r="CP59" s="601"/>
      <c r="CQ59" s="601"/>
      <c r="CR59" s="601"/>
      <c r="CS59" s="601"/>
      <c r="CT59" s="601"/>
      <c r="CU59" s="601"/>
      <c r="CV59" s="601"/>
      <c r="CW59" s="601"/>
      <c r="CX59" s="601"/>
      <c r="CY59" s="601"/>
      <c r="CZ59" s="601"/>
      <c r="DA59" s="601"/>
      <c r="DF59" s="324"/>
    </row>
    <row r="60" spans="1:110" s="317" customFormat="1" ht="12.75" x14ac:dyDescent="0.2">
      <c r="A60" s="595" t="s">
        <v>390</v>
      </c>
      <c r="B60" s="595"/>
      <c r="C60" s="595"/>
      <c r="D60" s="595"/>
      <c r="E60" s="595"/>
      <c r="F60" s="595"/>
      <c r="G60" s="595"/>
      <c r="H60" s="596" t="s">
        <v>79</v>
      </c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7">
        <v>1</v>
      </c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>
        <v>12</v>
      </c>
      <c r="BG60" s="597"/>
      <c r="BH60" s="597"/>
      <c r="BI60" s="597"/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601">
        <v>28073.9</v>
      </c>
      <c r="BW60" s="601"/>
      <c r="BX60" s="601"/>
      <c r="BY60" s="601"/>
      <c r="BZ60" s="601"/>
      <c r="CA60" s="601"/>
      <c r="CB60" s="601"/>
      <c r="CC60" s="601"/>
      <c r="CD60" s="601"/>
      <c r="CE60" s="601"/>
      <c r="CF60" s="601"/>
      <c r="CG60" s="601"/>
      <c r="CH60" s="601"/>
      <c r="CI60" s="601"/>
      <c r="CJ60" s="601"/>
      <c r="CK60" s="601"/>
      <c r="CL60" s="601">
        <f>AP60*BF60*BV60</f>
        <v>336886.80000000005</v>
      </c>
      <c r="CM60" s="601"/>
      <c r="CN60" s="601"/>
      <c r="CO60" s="601"/>
      <c r="CP60" s="601"/>
      <c r="CQ60" s="601"/>
      <c r="CR60" s="601"/>
      <c r="CS60" s="601"/>
      <c r="CT60" s="601"/>
      <c r="CU60" s="601"/>
      <c r="CV60" s="601"/>
      <c r="CW60" s="601"/>
      <c r="CX60" s="601"/>
      <c r="CY60" s="601"/>
      <c r="CZ60" s="601"/>
      <c r="DA60" s="601"/>
      <c r="DE60" s="319"/>
    </row>
    <row r="61" spans="1:110" s="317" customFormat="1" ht="12.75" x14ac:dyDescent="0.2">
      <c r="A61" s="595"/>
      <c r="B61" s="595"/>
      <c r="C61" s="595"/>
      <c r="D61" s="595"/>
      <c r="E61" s="595"/>
      <c r="F61" s="595"/>
      <c r="G61" s="595"/>
      <c r="H61" s="650" t="s">
        <v>628</v>
      </c>
      <c r="I61" s="651"/>
      <c r="J61" s="651"/>
      <c r="K61" s="651"/>
      <c r="L61" s="651"/>
      <c r="M61" s="651"/>
      <c r="N61" s="651"/>
      <c r="O61" s="651"/>
      <c r="P61" s="651"/>
      <c r="Q61" s="651"/>
      <c r="R61" s="651"/>
      <c r="S61" s="651"/>
      <c r="T61" s="651"/>
      <c r="U61" s="651"/>
      <c r="V61" s="651"/>
      <c r="W61" s="651"/>
      <c r="X61" s="651"/>
      <c r="Y61" s="651"/>
      <c r="Z61" s="651"/>
      <c r="AA61" s="651"/>
      <c r="AB61" s="651"/>
      <c r="AC61" s="651"/>
      <c r="AD61" s="651"/>
      <c r="AE61" s="651"/>
      <c r="AF61" s="651"/>
      <c r="AG61" s="651"/>
      <c r="AH61" s="651"/>
      <c r="AI61" s="651"/>
      <c r="AJ61" s="651"/>
      <c r="AK61" s="651"/>
      <c r="AL61" s="651"/>
      <c r="AM61" s="651"/>
      <c r="AN61" s="651"/>
      <c r="AO61" s="652"/>
      <c r="AP61" s="597" t="s">
        <v>487</v>
      </c>
      <c r="AQ61" s="597"/>
      <c r="AR61" s="597"/>
      <c r="AS61" s="597"/>
      <c r="AT61" s="597"/>
      <c r="AU61" s="597"/>
      <c r="AV61" s="597"/>
      <c r="AW61" s="597"/>
      <c r="AX61" s="597"/>
      <c r="AY61" s="597"/>
      <c r="AZ61" s="597"/>
      <c r="BA61" s="597"/>
      <c r="BB61" s="597"/>
      <c r="BC61" s="597"/>
      <c r="BD61" s="597"/>
      <c r="BE61" s="597"/>
      <c r="BF61" s="597" t="s">
        <v>487</v>
      </c>
      <c r="BG61" s="597"/>
      <c r="BH61" s="597"/>
      <c r="BI61" s="597"/>
      <c r="BJ61" s="597"/>
      <c r="BK61" s="597"/>
      <c r="BL61" s="597"/>
      <c r="BM61" s="597"/>
      <c r="BN61" s="597"/>
      <c r="BO61" s="597"/>
      <c r="BP61" s="597"/>
      <c r="BQ61" s="597"/>
      <c r="BR61" s="597"/>
      <c r="BS61" s="597"/>
      <c r="BT61" s="597"/>
      <c r="BU61" s="597"/>
      <c r="BV61" s="597" t="s">
        <v>487</v>
      </c>
      <c r="BW61" s="597"/>
      <c r="BX61" s="597"/>
      <c r="BY61" s="597"/>
      <c r="BZ61" s="597"/>
      <c r="CA61" s="597"/>
      <c r="CB61" s="597"/>
      <c r="CC61" s="597"/>
      <c r="CD61" s="597"/>
      <c r="CE61" s="597"/>
      <c r="CF61" s="597"/>
      <c r="CG61" s="597"/>
      <c r="CH61" s="597"/>
      <c r="CI61" s="597"/>
      <c r="CJ61" s="597"/>
      <c r="CK61" s="597"/>
      <c r="CL61" s="608">
        <f>CL59+CL60</f>
        <v>479853.69000000006</v>
      </c>
      <c r="CM61" s="608"/>
      <c r="CN61" s="608"/>
      <c r="CO61" s="608"/>
      <c r="CP61" s="608"/>
      <c r="CQ61" s="608"/>
      <c r="CR61" s="608"/>
      <c r="CS61" s="608"/>
      <c r="CT61" s="608"/>
      <c r="CU61" s="608"/>
      <c r="CV61" s="608"/>
      <c r="CW61" s="608"/>
      <c r="CX61" s="608"/>
      <c r="CY61" s="608"/>
      <c r="CZ61" s="608"/>
      <c r="DA61" s="608"/>
      <c r="DE61" s="202">
        <v>221</v>
      </c>
      <c r="DF61" s="324"/>
    </row>
    <row r="62" spans="1:110" ht="15" x14ac:dyDescent="0.25">
      <c r="DE62" s="320"/>
      <c r="DF62" s="325"/>
    </row>
    <row r="63" spans="1:110" s="315" customFormat="1" ht="14.25" x14ac:dyDescent="0.2">
      <c r="A63" s="609" t="s">
        <v>629</v>
      </c>
      <c r="B63" s="609"/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09"/>
      <c r="Z63" s="609"/>
      <c r="AA63" s="609"/>
      <c r="AB63" s="609"/>
      <c r="AC63" s="609"/>
      <c r="AD63" s="609"/>
      <c r="AE63" s="609"/>
      <c r="AF63" s="609"/>
      <c r="AG63" s="609"/>
      <c r="AH63" s="609"/>
      <c r="AI63" s="609"/>
      <c r="AJ63" s="609"/>
      <c r="AK63" s="609"/>
      <c r="AL63" s="609"/>
      <c r="AM63" s="609"/>
      <c r="AN63" s="609"/>
      <c r="AO63" s="609"/>
      <c r="AP63" s="609"/>
      <c r="AQ63" s="609"/>
      <c r="AR63" s="609"/>
      <c r="AS63" s="609"/>
      <c r="AT63" s="609"/>
      <c r="AU63" s="609"/>
      <c r="AV63" s="609"/>
      <c r="AW63" s="609"/>
      <c r="AX63" s="609"/>
      <c r="AY63" s="609"/>
      <c r="AZ63" s="609"/>
      <c r="BA63" s="609"/>
      <c r="BB63" s="609"/>
      <c r="BC63" s="609"/>
      <c r="BD63" s="609"/>
      <c r="BE63" s="609"/>
      <c r="BF63" s="609"/>
      <c r="BG63" s="609"/>
      <c r="BH63" s="609"/>
      <c r="BI63" s="609"/>
      <c r="BJ63" s="609"/>
      <c r="BK63" s="609"/>
      <c r="BL63" s="609"/>
      <c r="BM63" s="609"/>
      <c r="BN63" s="609"/>
      <c r="BO63" s="609"/>
      <c r="BP63" s="609"/>
      <c r="BQ63" s="609"/>
      <c r="BR63" s="609"/>
      <c r="BS63" s="609"/>
      <c r="BT63" s="609"/>
      <c r="BU63" s="609"/>
      <c r="BV63" s="609"/>
      <c r="BW63" s="609"/>
      <c r="BX63" s="609"/>
      <c r="BY63" s="609"/>
      <c r="BZ63" s="609"/>
      <c r="CA63" s="609"/>
      <c r="CB63" s="609"/>
      <c r="CC63" s="609"/>
      <c r="CD63" s="609"/>
      <c r="CE63" s="609"/>
      <c r="CF63" s="609"/>
      <c r="CG63" s="609"/>
      <c r="CH63" s="609"/>
      <c r="CI63" s="609"/>
      <c r="CJ63" s="609"/>
      <c r="CK63" s="609"/>
      <c r="CL63" s="609"/>
      <c r="CM63" s="609"/>
      <c r="CN63" s="609"/>
      <c r="CO63" s="609"/>
      <c r="CP63" s="609"/>
      <c r="CQ63" s="609"/>
      <c r="CR63" s="609"/>
      <c r="CS63" s="609"/>
      <c r="CT63" s="609"/>
      <c r="CU63" s="609"/>
      <c r="CV63" s="609"/>
      <c r="CW63" s="609"/>
      <c r="CX63" s="609"/>
      <c r="CY63" s="609"/>
      <c r="CZ63" s="609"/>
      <c r="DA63" s="609"/>
      <c r="DE63" s="316"/>
    </row>
    <row r="64" spans="1:110" ht="15" x14ac:dyDescent="0.25">
      <c r="DE64" s="317"/>
    </row>
    <row r="65" spans="1:109" s="318" customFormat="1" ht="12.75" x14ac:dyDescent="0.25">
      <c r="A65" s="592" t="s">
        <v>146</v>
      </c>
      <c r="B65" s="593"/>
      <c r="C65" s="593"/>
      <c r="D65" s="593"/>
      <c r="E65" s="593"/>
      <c r="F65" s="593"/>
      <c r="G65" s="594"/>
      <c r="H65" s="592" t="s">
        <v>617</v>
      </c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593"/>
      <c r="AN65" s="593"/>
      <c r="AO65" s="593"/>
      <c r="AP65" s="593"/>
      <c r="AQ65" s="593"/>
      <c r="AR65" s="593"/>
      <c r="AS65" s="593"/>
      <c r="AT65" s="593"/>
      <c r="AU65" s="593"/>
      <c r="AV65" s="593"/>
      <c r="AW65" s="593"/>
      <c r="AX65" s="593"/>
      <c r="AY65" s="593"/>
      <c r="AZ65" s="593"/>
      <c r="BA65" s="593"/>
      <c r="BB65" s="593"/>
      <c r="BC65" s="594"/>
      <c r="BD65" s="592" t="s">
        <v>630</v>
      </c>
      <c r="BE65" s="593"/>
      <c r="BF65" s="593"/>
      <c r="BG65" s="593"/>
      <c r="BH65" s="593"/>
      <c r="BI65" s="593"/>
      <c r="BJ65" s="593"/>
      <c r="BK65" s="593"/>
      <c r="BL65" s="593"/>
      <c r="BM65" s="593"/>
      <c r="BN65" s="593"/>
      <c r="BO65" s="593"/>
      <c r="BP65" s="593"/>
      <c r="BQ65" s="593"/>
      <c r="BR65" s="593"/>
      <c r="BS65" s="594"/>
      <c r="BT65" s="592" t="s">
        <v>631</v>
      </c>
      <c r="BU65" s="593"/>
      <c r="BV65" s="593"/>
      <c r="BW65" s="593"/>
      <c r="BX65" s="593"/>
      <c r="BY65" s="593"/>
      <c r="BZ65" s="593"/>
      <c r="CA65" s="593"/>
      <c r="CB65" s="593"/>
      <c r="CC65" s="593"/>
      <c r="CD65" s="593"/>
      <c r="CE65" s="593"/>
      <c r="CF65" s="593"/>
      <c r="CG65" s="593"/>
      <c r="CH65" s="593"/>
      <c r="CI65" s="594"/>
      <c r="CJ65" s="592" t="s">
        <v>632</v>
      </c>
      <c r="CK65" s="593"/>
      <c r="CL65" s="593"/>
      <c r="CM65" s="593"/>
      <c r="CN65" s="593"/>
      <c r="CO65" s="593"/>
      <c r="CP65" s="593"/>
      <c r="CQ65" s="593"/>
      <c r="CR65" s="593"/>
      <c r="CS65" s="593"/>
      <c r="CT65" s="593"/>
      <c r="CU65" s="593"/>
      <c r="CV65" s="593"/>
      <c r="CW65" s="593"/>
      <c r="CX65" s="593"/>
      <c r="CY65" s="593"/>
      <c r="CZ65" s="593"/>
      <c r="DA65" s="594"/>
      <c r="DE65" s="317"/>
    </row>
    <row r="66" spans="1:109" s="209" customFormat="1" ht="12.75" x14ac:dyDescent="0.25">
      <c r="A66" s="602">
        <v>1</v>
      </c>
      <c r="B66" s="602"/>
      <c r="C66" s="602"/>
      <c r="D66" s="602"/>
      <c r="E66" s="602"/>
      <c r="F66" s="602"/>
      <c r="G66" s="602"/>
      <c r="H66" s="602">
        <v>2</v>
      </c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2"/>
      <c r="AQ66" s="602"/>
      <c r="AR66" s="602"/>
      <c r="AS66" s="602"/>
      <c r="AT66" s="602"/>
      <c r="AU66" s="602"/>
      <c r="AV66" s="602"/>
      <c r="AW66" s="602"/>
      <c r="AX66" s="602"/>
      <c r="AY66" s="602"/>
      <c r="AZ66" s="602"/>
      <c r="BA66" s="602"/>
      <c r="BB66" s="602"/>
      <c r="BC66" s="602"/>
      <c r="BD66" s="602">
        <v>3</v>
      </c>
      <c r="BE66" s="602"/>
      <c r="BF66" s="602"/>
      <c r="BG66" s="602"/>
      <c r="BH66" s="602"/>
      <c r="BI66" s="602"/>
      <c r="BJ66" s="602"/>
      <c r="BK66" s="602"/>
      <c r="BL66" s="602"/>
      <c r="BM66" s="602"/>
      <c r="BN66" s="602"/>
      <c r="BO66" s="602"/>
      <c r="BP66" s="602"/>
      <c r="BQ66" s="602"/>
      <c r="BR66" s="602"/>
      <c r="BS66" s="602"/>
      <c r="BT66" s="602">
        <v>4</v>
      </c>
      <c r="BU66" s="602"/>
      <c r="BV66" s="602"/>
      <c r="BW66" s="602"/>
      <c r="BX66" s="602"/>
      <c r="BY66" s="602"/>
      <c r="BZ66" s="602"/>
      <c r="CA66" s="602"/>
      <c r="CB66" s="602"/>
      <c r="CC66" s="602"/>
      <c r="CD66" s="602"/>
      <c r="CE66" s="602"/>
      <c r="CF66" s="602"/>
      <c r="CG66" s="602"/>
      <c r="CH66" s="602"/>
      <c r="CI66" s="602"/>
      <c r="CJ66" s="602">
        <v>5</v>
      </c>
      <c r="CK66" s="602"/>
      <c r="CL66" s="602"/>
      <c r="CM66" s="602"/>
      <c r="CN66" s="602"/>
      <c r="CO66" s="602"/>
      <c r="CP66" s="602"/>
      <c r="CQ66" s="602"/>
      <c r="CR66" s="602"/>
      <c r="CS66" s="602"/>
      <c r="CT66" s="602"/>
      <c r="CU66" s="602"/>
      <c r="CV66" s="602"/>
      <c r="CW66" s="602"/>
      <c r="CX66" s="602"/>
      <c r="CY66" s="602"/>
      <c r="CZ66" s="602"/>
      <c r="DA66" s="602"/>
      <c r="DE66" s="317"/>
    </row>
    <row r="67" spans="1:109" s="317" customFormat="1" ht="12.75" x14ac:dyDescent="0.2">
      <c r="A67" s="595" t="s">
        <v>381</v>
      </c>
      <c r="B67" s="595"/>
      <c r="C67" s="595"/>
      <c r="D67" s="595"/>
      <c r="E67" s="595"/>
      <c r="F67" s="595"/>
      <c r="G67" s="595"/>
      <c r="H67" s="596" t="s">
        <v>633</v>
      </c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  <c r="AX67" s="596"/>
      <c r="AY67" s="596"/>
      <c r="AZ67" s="596"/>
      <c r="BA67" s="596"/>
      <c r="BB67" s="596"/>
      <c r="BC67" s="596"/>
      <c r="BD67" s="597">
        <v>2</v>
      </c>
      <c r="BE67" s="597"/>
      <c r="BF67" s="597"/>
      <c r="BG67" s="597"/>
      <c r="BH67" s="597"/>
      <c r="BI67" s="597"/>
      <c r="BJ67" s="597"/>
      <c r="BK67" s="597"/>
      <c r="BL67" s="597"/>
      <c r="BM67" s="597"/>
      <c r="BN67" s="597"/>
      <c r="BO67" s="597"/>
      <c r="BP67" s="597"/>
      <c r="BQ67" s="597"/>
      <c r="BR67" s="597"/>
      <c r="BS67" s="597"/>
      <c r="BT67" s="601">
        <v>400</v>
      </c>
      <c r="BU67" s="601"/>
      <c r="BV67" s="601"/>
      <c r="BW67" s="601"/>
      <c r="BX67" s="601"/>
      <c r="BY67" s="601"/>
      <c r="BZ67" s="601"/>
      <c r="CA67" s="601"/>
      <c r="CB67" s="601"/>
      <c r="CC67" s="601"/>
      <c r="CD67" s="601"/>
      <c r="CE67" s="601"/>
      <c r="CF67" s="601"/>
      <c r="CG67" s="601"/>
      <c r="CH67" s="601"/>
      <c r="CI67" s="601"/>
      <c r="CJ67" s="601">
        <f>BD67*BT67</f>
        <v>800</v>
      </c>
      <c r="CK67" s="601"/>
      <c r="CL67" s="601"/>
      <c r="CM67" s="601"/>
      <c r="CN67" s="601"/>
      <c r="CO67" s="601"/>
      <c r="CP67" s="601"/>
      <c r="CQ67" s="601"/>
      <c r="CR67" s="601"/>
      <c r="CS67" s="601"/>
      <c r="CT67" s="601"/>
      <c r="CU67" s="601"/>
      <c r="CV67" s="601"/>
      <c r="CW67" s="601"/>
      <c r="CX67" s="601"/>
      <c r="CY67" s="601"/>
      <c r="CZ67" s="601"/>
      <c r="DA67" s="601"/>
      <c r="DE67" s="202"/>
    </row>
    <row r="68" spans="1:109" s="317" customFormat="1" ht="12.75" x14ac:dyDescent="0.2">
      <c r="A68" s="595"/>
      <c r="B68" s="595"/>
      <c r="C68" s="595"/>
      <c r="D68" s="595"/>
      <c r="E68" s="595"/>
      <c r="F68" s="595"/>
      <c r="G68" s="595"/>
      <c r="H68" s="606" t="s">
        <v>610</v>
      </c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6"/>
      <c r="AQ68" s="606"/>
      <c r="AR68" s="606"/>
      <c r="AS68" s="606"/>
      <c r="AT68" s="606"/>
      <c r="AU68" s="606"/>
      <c r="AV68" s="606"/>
      <c r="AW68" s="606"/>
      <c r="AX68" s="606"/>
      <c r="AY68" s="606"/>
      <c r="AZ68" s="606"/>
      <c r="BA68" s="606"/>
      <c r="BB68" s="606"/>
      <c r="BC68" s="607"/>
      <c r="BD68" s="597"/>
      <c r="BE68" s="597"/>
      <c r="BF68" s="597"/>
      <c r="BG68" s="597"/>
      <c r="BH68" s="597"/>
      <c r="BI68" s="597"/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601"/>
      <c r="BU68" s="601"/>
      <c r="BV68" s="601"/>
      <c r="BW68" s="601"/>
      <c r="BX68" s="601"/>
      <c r="BY68" s="601"/>
      <c r="BZ68" s="601"/>
      <c r="CA68" s="601"/>
      <c r="CB68" s="601"/>
      <c r="CC68" s="601"/>
      <c r="CD68" s="601"/>
      <c r="CE68" s="601"/>
      <c r="CF68" s="601"/>
      <c r="CG68" s="601"/>
      <c r="CH68" s="601"/>
      <c r="CI68" s="601"/>
      <c r="CJ68" s="608">
        <f>CJ67</f>
        <v>800</v>
      </c>
      <c r="CK68" s="608"/>
      <c r="CL68" s="608"/>
      <c r="CM68" s="608"/>
      <c r="CN68" s="608"/>
      <c r="CO68" s="608"/>
      <c r="CP68" s="608"/>
      <c r="CQ68" s="608"/>
      <c r="CR68" s="608"/>
      <c r="CS68" s="608"/>
      <c r="CT68" s="608"/>
      <c r="CU68" s="608"/>
      <c r="CV68" s="608"/>
      <c r="CW68" s="608"/>
      <c r="CX68" s="608"/>
      <c r="CY68" s="608"/>
      <c r="CZ68" s="608"/>
      <c r="DA68" s="608"/>
      <c r="DE68" s="319">
        <v>222</v>
      </c>
    </row>
    <row r="69" spans="1:109" ht="15" x14ac:dyDescent="0.25"/>
    <row r="70" spans="1:109" ht="15" x14ac:dyDescent="0.25">
      <c r="DE70" s="320"/>
    </row>
    <row r="71" spans="1:109" s="315" customFormat="1" ht="14.25" x14ac:dyDescent="0.2">
      <c r="A71" s="609" t="s">
        <v>634</v>
      </c>
      <c r="B71" s="609"/>
      <c r="C71" s="609"/>
      <c r="D71" s="609"/>
      <c r="E71" s="609"/>
      <c r="F71" s="609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09"/>
      <c r="X71" s="609"/>
      <c r="Y71" s="609"/>
      <c r="Z71" s="609"/>
      <c r="AA71" s="609"/>
      <c r="AB71" s="609"/>
      <c r="AC71" s="609"/>
      <c r="AD71" s="609"/>
      <c r="AE71" s="609"/>
      <c r="AF71" s="609"/>
      <c r="AG71" s="609"/>
      <c r="AH71" s="609"/>
      <c r="AI71" s="609"/>
      <c r="AJ71" s="609"/>
      <c r="AK71" s="609"/>
      <c r="AL71" s="609"/>
      <c r="AM71" s="609"/>
      <c r="AN71" s="609"/>
      <c r="AO71" s="609"/>
      <c r="AP71" s="609"/>
      <c r="AQ71" s="609"/>
      <c r="AR71" s="609"/>
      <c r="AS71" s="609"/>
      <c r="AT71" s="609"/>
      <c r="AU71" s="609"/>
      <c r="AV71" s="609"/>
      <c r="AW71" s="609"/>
      <c r="AX71" s="609"/>
      <c r="AY71" s="609"/>
      <c r="AZ71" s="609"/>
      <c r="BA71" s="609"/>
      <c r="BB71" s="609"/>
      <c r="BC71" s="609"/>
      <c r="BD71" s="609"/>
      <c r="BE71" s="609"/>
      <c r="BF71" s="609"/>
      <c r="BG71" s="609"/>
      <c r="BH71" s="609"/>
      <c r="BI71" s="609"/>
      <c r="BJ71" s="609"/>
      <c r="BK71" s="609"/>
      <c r="BL71" s="609"/>
      <c r="BM71" s="609"/>
      <c r="BN71" s="609"/>
      <c r="BO71" s="609"/>
      <c r="BP71" s="609"/>
      <c r="BQ71" s="609"/>
      <c r="BR71" s="609"/>
      <c r="BS71" s="609"/>
      <c r="BT71" s="609"/>
      <c r="BU71" s="609"/>
      <c r="BV71" s="609"/>
      <c r="BW71" s="609"/>
      <c r="BX71" s="609"/>
      <c r="BY71" s="609"/>
      <c r="BZ71" s="609"/>
      <c r="CA71" s="609"/>
      <c r="CB71" s="609"/>
      <c r="CC71" s="609"/>
      <c r="CD71" s="609"/>
      <c r="CE71" s="609"/>
      <c r="CF71" s="609"/>
      <c r="CG71" s="609"/>
      <c r="CH71" s="609"/>
      <c r="CI71" s="609"/>
      <c r="CJ71" s="609"/>
      <c r="CK71" s="609"/>
      <c r="CL71" s="609"/>
      <c r="CM71" s="609"/>
      <c r="CN71" s="609"/>
      <c r="CO71" s="609"/>
      <c r="CP71" s="609"/>
      <c r="CQ71" s="609"/>
      <c r="CR71" s="609"/>
      <c r="CS71" s="609"/>
      <c r="CT71" s="609"/>
      <c r="CU71" s="609"/>
      <c r="CV71" s="609"/>
      <c r="CW71" s="609"/>
      <c r="CX71" s="609"/>
      <c r="CY71" s="609"/>
      <c r="CZ71" s="609"/>
      <c r="DA71" s="609"/>
      <c r="DE71" s="316"/>
    </row>
    <row r="72" spans="1:109" ht="15" x14ac:dyDescent="0.25">
      <c r="DE72" s="317"/>
    </row>
    <row r="73" spans="1:109" s="318" customFormat="1" ht="12.75" x14ac:dyDescent="0.25">
      <c r="A73" s="592" t="s">
        <v>146</v>
      </c>
      <c r="B73" s="593"/>
      <c r="C73" s="593"/>
      <c r="D73" s="593"/>
      <c r="E73" s="593"/>
      <c r="F73" s="593"/>
      <c r="G73" s="594"/>
      <c r="H73" s="592" t="s">
        <v>252</v>
      </c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93"/>
      <c r="AN73" s="593"/>
      <c r="AO73" s="593"/>
      <c r="AP73" s="593"/>
      <c r="AQ73" s="593"/>
      <c r="AR73" s="593"/>
      <c r="AS73" s="593"/>
      <c r="AT73" s="593"/>
      <c r="AU73" s="593"/>
      <c r="AV73" s="593"/>
      <c r="AW73" s="593"/>
      <c r="AX73" s="593"/>
      <c r="AY73" s="593"/>
      <c r="AZ73" s="593"/>
      <c r="BA73" s="593"/>
      <c r="BB73" s="593"/>
      <c r="BC73" s="594"/>
      <c r="BD73" s="592" t="s">
        <v>2</v>
      </c>
      <c r="BE73" s="593"/>
      <c r="BF73" s="593"/>
      <c r="BG73" s="593"/>
      <c r="BH73" s="593"/>
      <c r="BI73" s="593"/>
      <c r="BJ73" s="593"/>
      <c r="BK73" s="593"/>
      <c r="BL73" s="593"/>
      <c r="BM73" s="593"/>
      <c r="BN73" s="593"/>
      <c r="BO73" s="593"/>
      <c r="BP73" s="593"/>
      <c r="BQ73" s="593"/>
      <c r="BR73" s="593"/>
      <c r="BS73" s="594"/>
      <c r="BT73" s="592" t="s">
        <v>635</v>
      </c>
      <c r="BU73" s="593"/>
      <c r="BV73" s="593"/>
      <c r="BW73" s="593"/>
      <c r="BX73" s="593"/>
      <c r="BY73" s="593"/>
      <c r="BZ73" s="593"/>
      <c r="CA73" s="593"/>
      <c r="CB73" s="593"/>
      <c r="CC73" s="593"/>
      <c r="CD73" s="593"/>
      <c r="CE73" s="593"/>
      <c r="CF73" s="593"/>
      <c r="CG73" s="593"/>
      <c r="CH73" s="593"/>
      <c r="CI73" s="594"/>
      <c r="CJ73" s="592" t="s">
        <v>636</v>
      </c>
      <c r="CK73" s="593"/>
      <c r="CL73" s="593"/>
      <c r="CM73" s="593"/>
      <c r="CN73" s="593"/>
      <c r="CO73" s="593"/>
      <c r="CP73" s="593"/>
      <c r="CQ73" s="593"/>
      <c r="CR73" s="593"/>
      <c r="CS73" s="593"/>
      <c r="CT73" s="593"/>
      <c r="CU73" s="593"/>
      <c r="CV73" s="593"/>
      <c r="CW73" s="593"/>
      <c r="CX73" s="593"/>
      <c r="CY73" s="593"/>
      <c r="CZ73" s="593"/>
      <c r="DA73" s="594"/>
      <c r="DE73" s="317"/>
    </row>
    <row r="74" spans="1:109" s="209" customFormat="1" ht="12.75" x14ac:dyDescent="0.25">
      <c r="A74" s="602">
        <v>1</v>
      </c>
      <c r="B74" s="602"/>
      <c r="C74" s="602"/>
      <c r="D74" s="602"/>
      <c r="E74" s="602"/>
      <c r="F74" s="602"/>
      <c r="G74" s="602"/>
      <c r="H74" s="602">
        <v>2</v>
      </c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  <c r="AG74" s="602"/>
      <c r="AH74" s="602"/>
      <c r="AI74" s="602"/>
      <c r="AJ74" s="602"/>
      <c r="AK74" s="602"/>
      <c r="AL74" s="602"/>
      <c r="AM74" s="602"/>
      <c r="AN74" s="602"/>
      <c r="AO74" s="602"/>
      <c r="AP74" s="602"/>
      <c r="AQ74" s="602"/>
      <c r="AR74" s="602"/>
      <c r="AS74" s="602"/>
      <c r="AT74" s="602"/>
      <c r="AU74" s="602"/>
      <c r="AV74" s="602"/>
      <c r="AW74" s="602"/>
      <c r="AX74" s="602"/>
      <c r="AY74" s="602"/>
      <c r="AZ74" s="602"/>
      <c r="BA74" s="602"/>
      <c r="BB74" s="602"/>
      <c r="BC74" s="602"/>
      <c r="BD74" s="602">
        <v>4</v>
      </c>
      <c r="BE74" s="602"/>
      <c r="BF74" s="602"/>
      <c r="BG74" s="602"/>
      <c r="BH74" s="602"/>
      <c r="BI74" s="602"/>
      <c r="BJ74" s="602"/>
      <c r="BK74" s="602"/>
      <c r="BL74" s="602"/>
      <c r="BM74" s="602"/>
      <c r="BN74" s="602"/>
      <c r="BO74" s="602"/>
      <c r="BP74" s="602"/>
      <c r="BQ74" s="602"/>
      <c r="BR74" s="602"/>
      <c r="BS74" s="602"/>
      <c r="BT74" s="602">
        <v>5</v>
      </c>
      <c r="BU74" s="602"/>
      <c r="BV74" s="602"/>
      <c r="BW74" s="602"/>
      <c r="BX74" s="602"/>
      <c r="BY74" s="602"/>
      <c r="BZ74" s="602"/>
      <c r="CA74" s="602"/>
      <c r="CB74" s="602"/>
      <c r="CC74" s="602"/>
      <c r="CD74" s="602"/>
      <c r="CE74" s="602"/>
      <c r="CF74" s="602"/>
      <c r="CG74" s="602"/>
      <c r="CH74" s="602"/>
      <c r="CI74" s="602"/>
      <c r="CJ74" s="602">
        <v>6</v>
      </c>
      <c r="CK74" s="602"/>
      <c r="CL74" s="602"/>
      <c r="CM74" s="602"/>
      <c r="CN74" s="602"/>
      <c r="CO74" s="602"/>
      <c r="CP74" s="602"/>
      <c r="CQ74" s="602"/>
      <c r="CR74" s="602"/>
      <c r="CS74" s="602"/>
      <c r="CT74" s="602"/>
      <c r="CU74" s="602"/>
      <c r="CV74" s="602"/>
      <c r="CW74" s="602"/>
      <c r="CX74" s="602"/>
      <c r="CY74" s="602"/>
      <c r="CZ74" s="602"/>
      <c r="DA74" s="602"/>
      <c r="DE74" s="317"/>
    </row>
    <row r="75" spans="1:109" s="317" customFormat="1" ht="12.75" x14ac:dyDescent="0.2">
      <c r="A75" s="595" t="s">
        <v>381</v>
      </c>
      <c r="B75" s="595"/>
      <c r="C75" s="595"/>
      <c r="D75" s="595"/>
      <c r="E75" s="595"/>
      <c r="F75" s="595"/>
      <c r="G75" s="595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  <c r="AC75" s="596"/>
      <c r="AD75" s="596"/>
      <c r="AE75" s="596"/>
      <c r="AF75" s="596"/>
      <c r="AG75" s="596"/>
      <c r="AH75" s="596"/>
      <c r="AI75" s="596"/>
      <c r="AJ75" s="596"/>
      <c r="AK75" s="596"/>
      <c r="AL75" s="596"/>
      <c r="AM75" s="596"/>
      <c r="AN75" s="596"/>
      <c r="AO75" s="596"/>
      <c r="AP75" s="596"/>
      <c r="AQ75" s="596"/>
      <c r="AR75" s="596"/>
      <c r="AS75" s="596"/>
      <c r="AT75" s="596"/>
      <c r="AU75" s="596"/>
      <c r="AV75" s="596"/>
      <c r="AW75" s="596"/>
      <c r="AX75" s="596"/>
      <c r="AY75" s="596"/>
      <c r="AZ75" s="596"/>
      <c r="BA75" s="596"/>
      <c r="BB75" s="596"/>
      <c r="BC75" s="596"/>
      <c r="BD75" s="597"/>
      <c r="BE75" s="597"/>
      <c r="BF75" s="597"/>
      <c r="BG75" s="597"/>
      <c r="BH75" s="597"/>
      <c r="BI75" s="597"/>
      <c r="BJ75" s="597"/>
      <c r="BK75" s="597"/>
      <c r="BL75" s="597"/>
      <c r="BM75" s="597"/>
      <c r="BN75" s="597"/>
      <c r="BO75" s="597"/>
      <c r="BP75" s="597"/>
      <c r="BQ75" s="597"/>
      <c r="BR75" s="597"/>
      <c r="BS75" s="597"/>
      <c r="BT75" s="603">
        <v>0</v>
      </c>
      <c r="BU75" s="604"/>
      <c r="BV75" s="604"/>
      <c r="BW75" s="604"/>
      <c r="BX75" s="604"/>
      <c r="BY75" s="604"/>
      <c r="BZ75" s="604"/>
      <c r="CA75" s="604"/>
      <c r="CB75" s="604"/>
      <c r="CC75" s="604"/>
      <c r="CD75" s="604"/>
      <c r="CE75" s="604"/>
      <c r="CF75" s="604"/>
      <c r="CG75" s="604"/>
      <c r="CH75" s="604"/>
      <c r="CI75" s="605"/>
      <c r="CJ75" s="603">
        <f>BD75*BT75</f>
        <v>0</v>
      </c>
      <c r="CK75" s="604"/>
      <c r="CL75" s="604"/>
      <c r="CM75" s="604"/>
      <c r="CN75" s="604"/>
      <c r="CO75" s="604"/>
      <c r="CP75" s="604"/>
      <c r="CQ75" s="604"/>
      <c r="CR75" s="604"/>
      <c r="CS75" s="604"/>
      <c r="CT75" s="604"/>
      <c r="CU75" s="604"/>
      <c r="CV75" s="604"/>
      <c r="CW75" s="604"/>
      <c r="CX75" s="604"/>
      <c r="CY75" s="604"/>
      <c r="CZ75" s="604"/>
      <c r="DA75" s="605"/>
      <c r="DE75" s="202"/>
    </row>
    <row r="76" spans="1:109" s="317" customFormat="1" ht="12.75" x14ac:dyDescent="0.2">
      <c r="A76" s="595"/>
      <c r="B76" s="595"/>
      <c r="C76" s="595"/>
      <c r="D76" s="595"/>
      <c r="E76" s="595"/>
      <c r="F76" s="595"/>
      <c r="G76" s="595"/>
      <c r="H76" s="606" t="s">
        <v>610</v>
      </c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06"/>
      <c r="T76" s="606"/>
      <c r="U76" s="606"/>
      <c r="V76" s="606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6"/>
      <c r="AQ76" s="606"/>
      <c r="AR76" s="606"/>
      <c r="AS76" s="606"/>
      <c r="AT76" s="606"/>
      <c r="AU76" s="606"/>
      <c r="AV76" s="606"/>
      <c r="AW76" s="606"/>
      <c r="AX76" s="606"/>
      <c r="AY76" s="606"/>
      <c r="AZ76" s="606"/>
      <c r="BA76" s="606"/>
      <c r="BB76" s="606"/>
      <c r="BC76" s="607"/>
      <c r="BD76" s="597" t="s">
        <v>487</v>
      </c>
      <c r="BE76" s="597"/>
      <c r="BF76" s="597"/>
      <c r="BG76" s="597"/>
      <c r="BH76" s="597"/>
      <c r="BI76" s="597"/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 t="s">
        <v>487</v>
      </c>
      <c r="BU76" s="597"/>
      <c r="BV76" s="597"/>
      <c r="BW76" s="597"/>
      <c r="BX76" s="597"/>
      <c r="BY76" s="597"/>
      <c r="BZ76" s="597"/>
      <c r="CA76" s="597"/>
      <c r="CB76" s="597"/>
      <c r="CC76" s="597"/>
      <c r="CD76" s="597"/>
      <c r="CE76" s="597"/>
      <c r="CF76" s="597"/>
      <c r="CG76" s="597"/>
      <c r="CH76" s="597"/>
      <c r="CI76" s="597"/>
      <c r="CJ76" s="608">
        <f>CJ75</f>
        <v>0</v>
      </c>
      <c r="CK76" s="608"/>
      <c r="CL76" s="608"/>
      <c r="CM76" s="608"/>
      <c r="CN76" s="608"/>
      <c r="CO76" s="608"/>
      <c r="CP76" s="608"/>
      <c r="CQ76" s="608"/>
      <c r="CR76" s="608"/>
      <c r="CS76" s="608"/>
      <c r="CT76" s="608"/>
      <c r="CU76" s="608"/>
      <c r="CV76" s="608"/>
      <c r="CW76" s="608"/>
      <c r="CX76" s="608"/>
      <c r="CY76" s="608"/>
      <c r="CZ76" s="608"/>
      <c r="DA76" s="608"/>
      <c r="DE76" s="202">
        <v>224</v>
      </c>
    </row>
    <row r="77" spans="1:109" ht="15" x14ac:dyDescent="0.25">
      <c r="DE77" s="320"/>
    </row>
    <row r="78" spans="1:109" s="315" customFormat="1" ht="14.25" x14ac:dyDescent="0.2">
      <c r="A78" s="609" t="s">
        <v>637</v>
      </c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  <c r="AD78" s="609"/>
      <c r="AE78" s="609"/>
      <c r="AF78" s="609"/>
      <c r="AG78" s="609"/>
      <c r="AH78" s="609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609"/>
      <c r="AT78" s="609"/>
      <c r="AU78" s="609"/>
      <c r="AV78" s="609"/>
      <c r="AW78" s="609"/>
      <c r="AX78" s="609"/>
      <c r="AY78" s="609"/>
      <c r="AZ78" s="609"/>
      <c r="BA78" s="609"/>
      <c r="BB78" s="609"/>
      <c r="BC78" s="609"/>
      <c r="BD78" s="609"/>
      <c r="BE78" s="609"/>
      <c r="BF78" s="609"/>
      <c r="BG78" s="609"/>
      <c r="BH78" s="609"/>
      <c r="BI78" s="609"/>
      <c r="BJ78" s="609"/>
      <c r="BK78" s="609"/>
      <c r="BL78" s="609"/>
      <c r="BM78" s="609"/>
      <c r="BN78" s="609"/>
      <c r="BO78" s="609"/>
      <c r="BP78" s="609"/>
      <c r="BQ78" s="609"/>
      <c r="BR78" s="609"/>
      <c r="BS78" s="609"/>
      <c r="BT78" s="609"/>
      <c r="BU78" s="609"/>
      <c r="BV78" s="609"/>
      <c r="BW78" s="609"/>
      <c r="BX78" s="609"/>
      <c r="BY78" s="609"/>
      <c r="BZ78" s="609"/>
      <c r="CA78" s="609"/>
      <c r="CB78" s="609"/>
      <c r="CC78" s="609"/>
      <c r="CD78" s="609"/>
      <c r="CE78" s="609"/>
      <c r="CF78" s="609"/>
      <c r="CG78" s="609"/>
      <c r="CH78" s="609"/>
      <c r="CI78" s="609"/>
      <c r="CJ78" s="609"/>
      <c r="CK78" s="609"/>
      <c r="CL78" s="609"/>
      <c r="CM78" s="609"/>
      <c r="CN78" s="609"/>
      <c r="CO78" s="609"/>
      <c r="CP78" s="609"/>
      <c r="CQ78" s="609"/>
      <c r="CR78" s="609"/>
      <c r="CS78" s="609"/>
      <c r="CT78" s="609"/>
      <c r="CU78" s="609"/>
      <c r="CV78" s="609"/>
      <c r="CW78" s="609"/>
      <c r="CX78" s="609"/>
      <c r="CY78" s="609"/>
      <c r="CZ78" s="609"/>
      <c r="DA78" s="609"/>
      <c r="DE78" s="316"/>
    </row>
    <row r="79" spans="1:109" ht="10.5" customHeight="1" x14ac:dyDescent="0.25">
      <c r="DE79" s="317"/>
    </row>
    <row r="80" spans="1:109" s="318" customFormat="1" ht="45" customHeight="1" x14ac:dyDescent="0.25">
      <c r="A80" s="592" t="s">
        <v>146</v>
      </c>
      <c r="B80" s="593"/>
      <c r="C80" s="593"/>
      <c r="D80" s="593"/>
      <c r="E80" s="593"/>
      <c r="F80" s="593"/>
      <c r="G80" s="594"/>
      <c r="H80" s="592" t="s">
        <v>617</v>
      </c>
      <c r="I80" s="593"/>
      <c r="J80" s="593"/>
      <c r="K80" s="593"/>
      <c r="L80" s="593"/>
      <c r="M80" s="593"/>
      <c r="N80" s="593"/>
      <c r="O80" s="593"/>
      <c r="P80" s="593"/>
      <c r="Q80" s="593"/>
      <c r="R80" s="593"/>
      <c r="S80" s="593"/>
      <c r="T80" s="593"/>
      <c r="U80" s="593"/>
      <c r="V80" s="593"/>
      <c r="W80" s="593"/>
      <c r="X80" s="593"/>
      <c r="Y80" s="593"/>
      <c r="Z80" s="593"/>
      <c r="AA80" s="593"/>
      <c r="AB80" s="593"/>
      <c r="AC80" s="593"/>
      <c r="AD80" s="593"/>
      <c r="AE80" s="593"/>
      <c r="AF80" s="593"/>
      <c r="AG80" s="593"/>
      <c r="AH80" s="593"/>
      <c r="AI80" s="593"/>
      <c r="AJ80" s="593"/>
      <c r="AK80" s="593"/>
      <c r="AL80" s="593"/>
      <c r="AM80" s="593"/>
      <c r="AN80" s="593"/>
      <c r="AO80" s="593"/>
      <c r="AP80" s="593"/>
      <c r="AQ80" s="593"/>
      <c r="AR80" s="593"/>
      <c r="AS80" s="593"/>
      <c r="AT80" s="593"/>
      <c r="AU80" s="593"/>
      <c r="AV80" s="593"/>
      <c r="AW80" s="593"/>
      <c r="AX80" s="593"/>
      <c r="AY80" s="593"/>
      <c r="AZ80" s="593"/>
      <c r="BA80" s="593"/>
      <c r="BB80" s="593"/>
      <c r="BC80" s="594"/>
      <c r="BD80" s="592" t="s">
        <v>638</v>
      </c>
      <c r="BE80" s="593"/>
      <c r="BF80" s="593"/>
      <c r="BG80" s="593"/>
      <c r="BH80" s="593"/>
      <c r="BI80" s="593"/>
      <c r="BJ80" s="593"/>
      <c r="BK80" s="593"/>
      <c r="BL80" s="593"/>
      <c r="BM80" s="593"/>
      <c r="BN80" s="593"/>
      <c r="BO80" s="593"/>
      <c r="BP80" s="593"/>
      <c r="BQ80" s="593"/>
      <c r="BR80" s="593"/>
      <c r="BS80" s="594"/>
      <c r="BT80" s="592" t="s">
        <v>639</v>
      </c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3"/>
      <c r="CF80" s="593"/>
      <c r="CG80" s="593"/>
      <c r="CH80" s="593"/>
      <c r="CI80" s="594"/>
      <c r="CJ80" s="592" t="s">
        <v>640</v>
      </c>
      <c r="CK80" s="593"/>
      <c r="CL80" s="593"/>
      <c r="CM80" s="593"/>
      <c r="CN80" s="593"/>
      <c r="CO80" s="593"/>
      <c r="CP80" s="593"/>
      <c r="CQ80" s="593"/>
      <c r="CR80" s="593"/>
      <c r="CS80" s="593"/>
      <c r="CT80" s="593"/>
      <c r="CU80" s="593"/>
      <c r="CV80" s="593"/>
      <c r="CW80" s="593"/>
      <c r="CX80" s="593"/>
      <c r="CY80" s="593"/>
      <c r="CZ80" s="593"/>
      <c r="DA80" s="594"/>
      <c r="DE80" s="317"/>
    </row>
    <row r="81" spans="1:109" s="209" customFormat="1" ht="12.75" x14ac:dyDescent="0.25">
      <c r="A81" s="602">
        <v>1</v>
      </c>
      <c r="B81" s="602"/>
      <c r="C81" s="602"/>
      <c r="D81" s="602"/>
      <c r="E81" s="602"/>
      <c r="F81" s="602"/>
      <c r="G81" s="602"/>
      <c r="H81" s="602">
        <v>2</v>
      </c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2"/>
      <c r="AK81" s="602"/>
      <c r="AL81" s="602"/>
      <c r="AM81" s="602"/>
      <c r="AN81" s="602"/>
      <c r="AO81" s="602"/>
      <c r="AP81" s="602"/>
      <c r="AQ81" s="602"/>
      <c r="AR81" s="602"/>
      <c r="AS81" s="602"/>
      <c r="AT81" s="602"/>
      <c r="AU81" s="602"/>
      <c r="AV81" s="602"/>
      <c r="AW81" s="602"/>
      <c r="AX81" s="602"/>
      <c r="AY81" s="602"/>
      <c r="AZ81" s="602"/>
      <c r="BA81" s="602"/>
      <c r="BB81" s="602"/>
      <c r="BC81" s="602"/>
      <c r="BD81" s="602">
        <v>3</v>
      </c>
      <c r="BE81" s="602"/>
      <c r="BF81" s="602"/>
      <c r="BG81" s="602"/>
      <c r="BH81" s="602"/>
      <c r="BI81" s="602"/>
      <c r="BJ81" s="602"/>
      <c r="BK81" s="602"/>
      <c r="BL81" s="602"/>
      <c r="BM81" s="602"/>
      <c r="BN81" s="602"/>
      <c r="BO81" s="602"/>
      <c r="BP81" s="602"/>
      <c r="BQ81" s="602"/>
      <c r="BR81" s="602"/>
      <c r="BS81" s="602"/>
      <c r="BT81" s="602">
        <v>4</v>
      </c>
      <c r="BU81" s="602"/>
      <c r="BV81" s="602"/>
      <c r="BW81" s="602"/>
      <c r="BX81" s="602"/>
      <c r="BY81" s="602"/>
      <c r="BZ81" s="602"/>
      <c r="CA81" s="602"/>
      <c r="CB81" s="602"/>
      <c r="CC81" s="602"/>
      <c r="CD81" s="602"/>
      <c r="CE81" s="602"/>
      <c r="CF81" s="602"/>
      <c r="CG81" s="602"/>
      <c r="CH81" s="602"/>
      <c r="CI81" s="602"/>
      <c r="CJ81" s="602">
        <v>5</v>
      </c>
      <c r="CK81" s="602"/>
      <c r="CL81" s="602"/>
      <c r="CM81" s="602"/>
      <c r="CN81" s="602"/>
      <c r="CO81" s="602"/>
      <c r="CP81" s="602"/>
      <c r="CQ81" s="602"/>
      <c r="CR81" s="602"/>
      <c r="CS81" s="602"/>
      <c r="CT81" s="602"/>
      <c r="CU81" s="602"/>
      <c r="CV81" s="602"/>
      <c r="CW81" s="602"/>
      <c r="CX81" s="602"/>
      <c r="CY81" s="602"/>
      <c r="CZ81" s="602"/>
      <c r="DA81" s="602"/>
      <c r="DE81" s="317"/>
    </row>
    <row r="82" spans="1:109" s="317" customFormat="1" ht="26.25" customHeight="1" x14ac:dyDescent="0.25">
      <c r="A82" s="595" t="s">
        <v>381</v>
      </c>
      <c r="B82" s="595"/>
      <c r="C82" s="595"/>
      <c r="D82" s="595"/>
      <c r="E82" s="595"/>
      <c r="F82" s="595"/>
      <c r="G82" s="595"/>
      <c r="H82" s="596" t="s">
        <v>87</v>
      </c>
      <c r="I82" s="596"/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6"/>
      <c r="X82" s="596"/>
      <c r="Y82" s="596"/>
      <c r="Z82" s="596"/>
      <c r="AA82" s="596"/>
      <c r="AB82" s="596"/>
      <c r="AC82" s="596"/>
      <c r="AD82" s="596"/>
      <c r="AE82" s="596"/>
      <c r="AF82" s="596"/>
      <c r="AG82" s="596"/>
      <c r="AH82" s="596"/>
      <c r="AI82" s="596"/>
      <c r="AJ82" s="596"/>
      <c r="AK82" s="596"/>
      <c r="AL82" s="596"/>
      <c r="AM82" s="596"/>
      <c r="AN82" s="596"/>
      <c r="AO82" s="596"/>
      <c r="AP82" s="596"/>
      <c r="AQ82" s="596"/>
      <c r="AR82" s="596"/>
      <c r="AS82" s="596"/>
      <c r="AT82" s="596"/>
      <c r="AU82" s="596"/>
      <c r="AV82" s="596"/>
      <c r="AW82" s="596"/>
      <c r="AX82" s="596"/>
      <c r="AY82" s="596"/>
      <c r="AZ82" s="596"/>
      <c r="BA82" s="596"/>
      <c r="BB82" s="596"/>
      <c r="BC82" s="596"/>
      <c r="BD82" s="597"/>
      <c r="BE82" s="597"/>
      <c r="BF82" s="597"/>
      <c r="BG82" s="597"/>
      <c r="BH82" s="597"/>
      <c r="BI82" s="597"/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  <c r="BX82" s="597"/>
      <c r="BY82" s="597"/>
      <c r="BZ82" s="597"/>
      <c r="CA82" s="597"/>
      <c r="CB82" s="597"/>
      <c r="CC82" s="597"/>
      <c r="CD82" s="597"/>
      <c r="CE82" s="597"/>
      <c r="CF82" s="597"/>
      <c r="CG82" s="597"/>
      <c r="CH82" s="597"/>
      <c r="CI82" s="597"/>
      <c r="CJ82" s="601">
        <v>121000</v>
      </c>
      <c r="CK82" s="601"/>
      <c r="CL82" s="601"/>
      <c r="CM82" s="601"/>
      <c r="CN82" s="601"/>
      <c r="CO82" s="601"/>
      <c r="CP82" s="601"/>
      <c r="CQ82" s="601"/>
      <c r="CR82" s="601"/>
      <c r="CS82" s="601"/>
      <c r="CT82" s="601"/>
      <c r="CU82" s="601"/>
      <c r="CV82" s="601"/>
      <c r="CW82" s="601"/>
      <c r="CX82" s="601"/>
      <c r="CY82" s="601"/>
      <c r="CZ82" s="601"/>
      <c r="DA82" s="601"/>
    </row>
    <row r="83" spans="1:109" s="317" customFormat="1" ht="15" customHeight="1" x14ac:dyDescent="0.25">
      <c r="A83" s="595" t="s">
        <v>390</v>
      </c>
      <c r="B83" s="595"/>
      <c r="C83" s="595"/>
      <c r="D83" s="595"/>
      <c r="E83" s="595"/>
      <c r="F83" s="595"/>
      <c r="G83" s="595"/>
      <c r="H83" s="596" t="s">
        <v>641</v>
      </c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6"/>
      <c r="AQ83" s="596"/>
      <c r="AR83" s="596"/>
      <c r="AS83" s="596"/>
      <c r="AT83" s="596"/>
      <c r="AU83" s="596"/>
      <c r="AV83" s="596"/>
      <c r="AW83" s="596"/>
      <c r="AX83" s="596"/>
      <c r="AY83" s="596"/>
      <c r="AZ83" s="596"/>
      <c r="BA83" s="596"/>
      <c r="BB83" s="596"/>
      <c r="BC83" s="596"/>
      <c r="BD83" s="597"/>
      <c r="BE83" s="597"/>
      <c r="BF83" s="597"/>
      <c r="BG83" s="597"/>
      <c r="BH83" s="597"/>
      <c r="BI83" s="597"/>
      <c r="BJ83" s="597"/>
      <c r="BK83" s="597"/>
      <c r="BL83" s="597"/>
      <c r="BM83" s="597"/>
      <c r="BN83" s="597"/>
      <c r="BO83" s="597"/>
      <c r="BP83" s="597"/>
      <c r="BQ83" s="597"/>
      <c r="BR83" s="597"/>
      <c r="BS83" s="597"/>
      <c r="BT83" s="597"/>
      <c r="BU83" s="597"/>
      <c r="BV83" s="597"/>
      <c r="BW83" s="597"/>
      <c r="BX83" s="597"/>
      <c r="BY83" s="597"/>
      <c r="BZ83" s="597"/>
      <c r="CA83" s="597"/>
      <c r="CB83" s="597"/>
      <c r="CC83" s="597"/>
      <c r="CD83" s="597"/>
      <c r="CE83" s="597"/>
      <c r="CF83" s="597"/>
      <c r="CG83" s="597"/>
      <c r="CH83" s="597"/>
      <c r="CI83" s="597"/>
      <c r="CJ83" s="601">
        <v>429400</v>
      </c>
      <c r="CK83" s="601"/>
      <c r="CL83" s="601"/>
      <c r="CM83" s="601"/>
      <c r="CN83" s="601"/>
      <c r="CO83" s="601"/>
      <c r="CP83" s="601"/>
      <c r="CQ83" s="601"/>
      <c r="CR83" s="601"/>
      <c r="CS83" s="601"/>
      <c r="CT83" s="601"/>
      <c r="CU83" s="601"/>
      <c r="CV83" s="601"/>
      <c r="CW83" s="601"/>
      <c r="CX83" s="601"/>
      <c r="CY83" s="601"/>
      <c r="CZ83" s="601"/>
      <c r="DA83" s="601"/>
    </row>
    <row r="84" spans="1:109" s="317" customFormat="1" ht="15" customHeight="1" x14ac:dyDescent="0.2">
      <c r="A84" s="595" t="s">
        <v>406</v>
      </c>
      <c r="B84" s="595"/>
      <c r="C84" s="595"/>
      <c r="D84" s="595"/>
      <c r="E84" s="595"/>
      <c r="F84" s="595"/>
      <c r="G84" s="595"/>
      <c r="H84" s="596" t="s">
        <v>642</v>
      </c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6"/>
      <c r="Y84" s="596"/>
      <c r="Z84" s="596"/>
      <c r="AA84" s="596"/>
      <c r="AB84" s="596"/>
      <c r="AC84" s="596"/>
      <c r="AD84" s="596"/>
      <c r="AE84" s="596"/>
      <c r="AF84" s="596"/>
      <c r="AG84" s="596"/>
      <c r="AH84" s="596"/>
      <c r="AI84" s="596"/>
      <c r="AJ84" s="596"/>
      <c r="AK84" s="596"/>
      <c r="AL84" s="596"/>
      <c r="AM84" s="596"/>
      <c r="AN84" s="596"/>
      <c r="AO84" s="596"/>
      <c r="AP84" s="596"/>
      <c r="AQ84" s="596"/>
      <c r="AR84" s="596"/>
      <c r="AS84" s="596"/>
      <c r="AT84" s="596"/>
      <c r="AU84" s="596"/>
      <c r="AV84" s="596"/>
      <c r="AW84" s="596"/>
      <c r="AX84" s="596"/>
      <c r="AY84" s="596"/>
      <c r="AZ84" s="596"/>
      <c r="BA84" s="596"/>
      <c r="BB84" s="596"/>
      <c r="BC84" s="596"/>
      <c r="BD84" s="597"/>
      <c r="BE84" s="597"/>
      <c r="BF84" s="597"/>
      <c r="BG84" s="597"/>
      <c r="BH84" s="597"/>
      <c r="BI84" s="597"/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  <c r="BX84" s="597"/>
      <c r="BY84" s="597"/>
      <c r="BZ84" s="597"/>
      <c r="CA84" s="597"/>
      <c r="CB84" s="597"/>
      <c r="CC84" s="597"/>
      <c r="CD84" s="597"/>
      <c r="CE84" s="597"/>
      <c r="CF84" s="597"/>
      <c r="CG84" s="597"/>
      <c r="CH84" s="597"/>
      <c r="CI84" s="597"/>
      <c r="CJ84" s="601">
        <f>1267700-369432.83+6386.24-826.99</f>
        <v>903826.41999999993</v>
      </c>
      <c r="CK84" s="601"/>
      <c r="CL84" s="601"/>
      <c r="CM84" s="601"/>
      <c r="CN84" s="601"/>
      <c r="CO84" s="601"/>
      <c r="CP84" s="601"/>
      <c r="CQ84" s="601"/>
      <c r="CR84" s="601"/>
      <c r="CS84" s="601"/>
      <c r="CT84" s="601"/>
      <c r="CU84" s="601"/>
      <c r="CV84" s="601"/>
      <c r="CW84" s="601"/>
      <c r="CX84" s="601"/>
      <c r="CY84" s="601"/>
      <c r="CZ84" s="601"/>
      <c r="DA84" s="601"/>
      <c r="DE84" s="202"/>
    </row>
    <row r="85" spans="1:109" s="317" customFormat="1" ht="15" customHeight="1" x14ac:dyDescent="0.2">
      <c r="A85" s="595" t="s">
        <v>409</v>
      </c>
      <c r="B85" s="595"/>
      <c r="C85" s="595"/>
      <c r="D85" s="595"/>
      <c r="E85" s="595"/>
      <c r="F85" s="595"/>
      <c r="G85" s="595"/>
      <c r="H85" s="596" t="s">
        <v>643</v>
      </c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6"/>
      <c r="AC85" s="596"/>
      <c r="AD85" s="596"/>
      <c r="AE85" s="596"/>
      <c r="AF85" s="596"/>
      <c r="AG85" s="596"/>
      <c r="AH85" s="596"/>
      <c r="AI85" s="596"/>
      <c r="AJ85" s="596"/>
      <c r="AK85" s="596"/>
      <c r="AL85" s="596"/>
      <c r="AM85" s="596"/>
      <c r="AN85" s="596"/>
      <c r="AO85" s="596"/>
      <c r="AP85" s="596"/>
      <c r="AQ85" s="596"/>
      <c r="AR85" s="596"/>
      <c r="AS85" s="596"/>
      <c r="AT85" s="596"/>
      <c r="AU85" s="596"/>
      <c r="AV85" s="596"/>
      <c r="AW85" s="596"/>
      <c r="AX85" s="596"/>
      <c r="AY85" s="596"/>
      <c r="AZ85" s="596"/>
      <c r="BA85" s="596"/>
      <c r="BB85" s="596"/>
      <c r="BC85" s="596"/>
      <c r="BD85" s="597"/>
      <c r="BE85" s="597"/>
      <c r="BF85" s="597"/>
      <c r="BG85" s="597"/>
      <c r="BH85" s="597"/>
      <c r="BI85" s="597"/>
      <c r="BJ85" s="597"/>
      <c r="BK85" s="597"/>
      <c r="BL85" s="597"/>
      <c r="BM85" s="597"/>
      <c r="BN85" s="597"/>
      <c r="BO85" s="597"/>
      <c r="BP85" s="597"/>
      <c r="BQ85" s="597"/>
      <c r="BR85" s="597"/>
      <c r="BS85" s="597"/>
      <c r="BT85" s="597"/>
      <c r="BU85" s="597"/>
      <c r="BV85" s="597"/>
      <c r="BW85" s="597"/>
      <c r="BX85" s="597"/>
      <c r="BY85" s="597"/>
      <c r="BZ85" s="597"/>
      <c r="CA85" s="597"/>
      <c r="CB85" s="597"/>
      <c r="CC85" s="597"/>
      <c r="CD85" s="597"/>
      <c r="CE85" s="597"/>
      <c r="CF85" s="597"/>
      <c r="CG85" s="597"/>
      <c r="CH85" s="597"/>
      <c r="CI85" s="597"/>
      <c r="CJ85" s="601">
        <v>0</v>
      </c>
      <c r="CK85" s="601"/>
      <c r="CL85" s="601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E85" s="319"/>
    </row>
    <row r="86" spans="1:109" s="317" customFormat="1" ht="15" customHeight="1" x14ac:dyDescent="0.2">
      <c r="A86" s="595" t="s">
        <v>418</v>
      </c>
      <c r="B86" s="595"/>
      <c r="C86" s="595"/>
      <c r="D86" s="595"/>
      <c r="E86" s="595"/>
      <c r="F86" s="595"/>
      <c r="G86" s="595"/>
      <c r="H86" s="596" t="s">
        <v>644</v>
      </c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596"/>
      <c r="AD86" s="596"/>
      <c r="AE86" s="596"/>
      <c r="AF86" s="596"/>
      <c r="AG86" s="596"/>
      <c r="AH86" s="596"/>
      <c r="AI86" s="596"/>
      <c r="AJ86" s="596"/>
      <c r="AK86" s="596"/>
      <c r="AL86" s="596"/>
      <c r="AM86" s="596"/>
      <c r="AN86" s="596"/>
      <c r="AO86" s="596"/>
      <c r="AP86" s="596"/>
      <c r="AQ86" s="596"/>
      <c r="AR86" s="596"/>
      <c r="AS86" s="596"/>
      <c r="AT86" s="596"/>
      <c r="AU86" s="596"/>
      <c r="AV86" s="596"/>
      <c r="AW86" s="596"/>
      <c r="AX86" s="596"/>
      <c r="AY86" s="596"/>
      <c r="AZ86" s="596"/>
      <c r="BA86" s="596"/>
      <c r="BB86" s="596"/>
      <c r="BC86" s="596"/>
      <c r="BD86" s="597"/>
      <c r="BE86" s="597"/>
      <c r="BF86" s="597"/>
      <c r="BG86" s="597"/>
      <c r="BH86" s="597"/>
      <c r="BI86" s="597"/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  <c r="BX86" s="597"/>
      <c r="BY86" s="597"/>
      <c r="BZ86" s="597"/>
      <c r="CA86" s="597"/>
      <c r="CB86" s="597"/>
      <c r="CC86" s="597"/>
      <c r="CD86" s="597"/>
      <c r="CE86" s="597"/>
      <c r="CF86" s="597"/>
      <c r="CG86" s="597"/>
      <c r="CH86" s="597"/>
      <c r="CI86" s="597"/>
      <c r="CJ86" s="601">
        <v>273587.88</v>
      </c>
      <c r="CK86" s="601"/>
      <c r="CL86" s="601"/>
      <c r="CM86" s="601"/>
      <c r="CN86" s="601"/>
      <c r="CO86" s="601"/>
      <c r="CP86" s="601"/>
      <c r="CQ86" s="601"/>
      <c r="CR86" s="601"/>
      <c r="CS86" s="601"/>
      <c r="CT86" s="601"/>
      <c r="CU86" s="601"/>
      <c r="CV86" s="601"/>
      <c r="CW86" s="601"/>
      <c r="CX86" s="601"/>
      <c r="CY86" s="601"/>
      <c r="CZ86" s="601"/>
      <c r="DA86" s="601"/>
      <c r="DE86" s="319"/>
    </row>
    <row r="87" spans="1:109" s="317" customFormat="1" ht="15" customHeight="1" x14ac:dyDescent="0.2">
      <c r="A87" s="595"/>
      <c r="B87" s="595"/>
      <c r="C87" s="595"/>
      <c r="D87" s="595"/>
      <c r="E87" s="595"/>
      <c r="F87" s="595"/>
      <c r="G87" s="595"/>
      <c r="H87" s="606" t="s">
        <v>610</v>
      </c>
      <c r="I87" s="606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6"/>
      <c r="AQ87" s="606"/>
      <c r="AR87" s="606"/>
      <c r="AS87" s="606"/>
      <c r="AT87" s="606"/>
      <c r="AU87" s="606"/>
      <c r="AV87" s="606"/>
      <c r="AW87" s="606"/>
      <c r="AX87" s="606"/>
      <c r="AY87" s="606"/>
      <c r="AZ87" s="606"/>
      <c r="BA87" s="606"/>
      <c r="BB87" s="606"/>
      <c r="BC87" s="607"/>
      <c r="BD87" s="597" t="s">
        <v>487</v>
      </c>
      <c r="BE87" s="597"/>
      <c r="BF87" s="597"/>
      <c r="BG87" s="597"/>
      <c r="BH87" s="597"/>
      <c r="BI87" s="597"/>
      <c r="BJ87" s="597"/>
      <c r="BK87" s="597"/>
      <c r="BL87" s="597"/>
      <c r="BM87" s="597"/>
      <c r="BN87" s="597"/>
      <c r="BO87" s="597"/>
      <c r="BP87" s="597"/>
      <c r="BQ87" s="597"/>
      <c r="BR87" s="597"/>
      <c r="BS87" s="597"/>
      <c r="BT87" s="597" t="s">
        <v>487</v>
      </c>
      <c r="BU87" s="597"/>
      <c r="BV87" s="597"/>
      <c r="BW87" s="597"/>
      <c r="BX87" s="597"/>
      <c r="BY87" s="597"/>
      <c r="BZ87" s="597"/>
      <c r="CA87" s="597"/>
      <c r="CB87" s="597"/>
      <c r="CC87" s="597"/>
      <c r="CD87" s="597"/>
      <c r="CE87" s="597"/>
      <c r="CF87" s="597"/>
      <c r="CG87" s="597"/>
      <c r="CH87" s="597"/>
      <c r="CI87" s="597"/>
      <c r="CJ87" s="608">
        <f>CJ82+CJ84+CJ86+CJ83+CJ85</f>
        <v>1727814.2999999998</v>
      </c>
      <c r="CK87" s="646"/>
      <c r="CL87" s="646"/>
      <c r="CM87" s="646"/>
      <c r="CN87" s="646"/>
      <c r="CO87" s="646"/>
      <c r="CP87" s="646"/>
      <c r="CQ87" s="646"/>
      <c r="CR87" s="646"/>
      <c r="CS87" s="646"/>
      <c r="CT87" s="646"/>
      <c r="CU87" s="646"/>
      <c r="CV87" s="646"/>
      <c r="CW87" s="646"/>
      <c r="CX87" s="646"/>
      <c r="CY87" s="646"/>
      <c r="CZ87" s="646"/>
      <c r="DA87" s="646"/>
      <c r="DE87" s="202">
        <v>225</v>
      </c>
    </row>
    <row r="89" spans="1:109" s="315" customFormat="1" ht="14.25" x14ac:dyDescent="0.2">
      <c r="A89" s="609" t="s">
        <v>645</v>
      </c>
      <c r="B89" s="609"/>
      <c r="C89" s="609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09"/>
      <c r="AV89" s="609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9"/>
      <c r="BK89" s="609"/>
      <c r="BL89" s="609"/>
      <c r="BM89" s="609"/>
      <c r="BN89" s="609"/>
      <c r="BO89" s="609"/>
      <c r="BP89" s="609"/>
      <c r="BQ89" s="609"/>
      <c r="BR89" s="609"/>
      <c r="BS89" s="609"/>
      <c r="BT89" s="609"/>
      <c r="BU89" s="609"/>
      <c r="BV89" s="609"/>
      <c r="BW89" s="609"/>
      <c r="BX89" s="609"/>
      <c r="BY89" s="609"/>
      <c r="BZ89" s="609"/>
      <c r="CA89" s="609"/>
      <c r="CB89" s="609"/>
      <c r="CC89" s="609"/>
      <c r="CD89" s="609"/>
      <c r="CE89" s="609"/>
      <c r="CF89" s="609"/>
      <c r="CG89" s="609"/>
      <c r="CH89" s="609"/>
      <c r="CI89" s="609"/>
      <c r="CJ89" s="609"/>
      <c r="CK89" s="609"/>
      <c r="CL89" s="609"/>
      <c r="CM89" s="609"/>
      <c r="CN89" s="609"/>
      <c r="CO89" s="609"/>
      <c r="CP89" s="609"/>
      <c r="CQ89" s="609"/>
      <c r="CR89" s="609"/>
      <c r="CS89" s="609"/>
      <c r="CT89" s="609"/>
      <c r="CU89" s="609"/>
      <c r="CV89" s="609"/>
      <c r="CW89" s="609"/>
      <c r="CX89" s="609"/>
      <c r="CY89" s="609"/>
      <c r="CZ89" s="609"/>
      <c r="DA89" s="609"/>
      <c r="DE89" s="202"/>
    </row>
    <row r="90" spans="1:109" ht="10.5" customHeight="1" x14ac:dyDescent="0.25"/>
    <row r="91" spans="1:109" ht="30" customHeight="1" x14ac:dyDescent="0.25">
      <c r="A91" s="592" t="s">
        <v>146</v>
      </c>
      <c r="B91" s="593"/>
      <c r="C91" s="593"/>
      <c r="D91" s="593"/>
      <c r="E91" s="593"/>
      <c r="F91" s="593"/>
      <c r="G91" s="594"/>
      <c r="H91" s="592" t="s">
        <v>617</v>
      </c>
      <c r="I91" s="593"/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3"/>
      <c r="X91" s="593"/>
      <c r="Y91" s="593"/>
      <c r="Z91" s="593"/>
      <c r="AA91" s="593"/>
      <c r="AB91" s="593"/>
      <c r="AC91" s="593"/>
      <c r="AD91" s="593"/>
      <c r="AE91" s="593"/>
      <c r="AF91" s="593"/>
      <c r="AG91" s="593"/>
      <c r="AH91" s="593"/>
      <c r="AI91" s="593"/>
      <c r="AJ91" s="593"/>
      <c r="AK91" s="593"/>
      <c r="AL91" s="593"/>
      <c r="AM91" s="593"/>
      <c r="AN91" s="593"/>
      <c r="AO91" s="593"/>
      <c r="AP91" s="593"/>
      <c r="AQ91" s="593"/>
      <c r="AR91" s="593"/>
      <c r="AS91" s="593"/>
      <c r="AT91" s="593"/>
      <c r="AU91" s="593"/>
      <c r="AV91" s="593"/>
      <c r="AW91" s="593"/>
      <c r="AX91" s="593"/>
      <c r="AY91" s="593"/>
      <c r="AZ91" s="593"/>
      <c r="BA91" s="593"/>
      <c r="BB91" s="593"/>
      <c r="BC91" s="593"/>
      <c r="BD91" s="593"/>
      <c r="BE91" s="593"/>
      <c r="BF91" s="593"/>
      <c r="BG91" s="593"/>
      <c r="BH91" s="593"/>
      <c r="BI91" s="593"/>
      <c r="BJ91" s="593"/>
      <c r="BK91" s="593"/>
      <c r="BL91" s="593"/>
      <c r="BM91" s="593"/>
      <c r="BN91" s="593"/>
      <c r="BO91" s="593"/>
      <c r="BP91" s="593"/>
      <c r="BQ91" s="593"/>
      <c r="BR91" s="593"/>
      <c r="BS91" s="594"/>
      <c r="BT91" s="592" t="s">
        <v>646</v>
      </c>
      <c r="BU91" s="593"/>
      <c r="BV91" s="593"/>
      <c r="BW91" s="593"/>
      <c r="BX91" s="593"/>
      <c r="BY91" s="593"/>
      <c r="BZ91" s="593"/>
      <c r="CA91" s="593"/>
      <c r="CB91" s="593"/>
      <c r="CC91" s="593"/>
      <c r="CD91" s="593"/>
      <c r="CE91" s="593"/>
      <c r="CF91" s="593"/>
      <c r="CG91" s="593"/>
      <c r="CH91" s="593"/>
      <c r="CI91" s="594"/>
      <c r="CJ91" s="592" t="s">
        <v>647</v>
      </c>
      <c r="CK91" s="593"/>
      <c r="CL91" s="593"/>
      <c r="CM91" s="593"/>
      <c r="CN91" s="593"/>
      <c r="CO91" s="593"/>
      <c r="CP91" s="593"/>
      <c r="CQ91" s="593"/>
      <c r="CR91" s="593"/>
      <c r="CS91" s="593"/>
      <c r="CT91" s="593"/>
      <c r="CU91" s="593"/>
      <c r="CV91" s="593"/>
      <c r="CW91" s="593"/>
      <c r="CX91" s="593"/>
      <c r="CY91" s="593"/>
      <c r="CZ91" s="593"/>
      <c r="DA91" s="594"/>
    </row>
    <row r="92" spans="1:109" s="202" customFormat="1" ht="12.75" x14ac:dyDescent="0.2">
      <c r="A92" s="602">
        <v>1</v>
      </c>
      <c r="B92" s="602"/>
      <c r="C92" s="602"/>
      <c r="D92" s="602"/>
      <c r="E92" s="602"/>
      <c r="F92" s="602"/>
      <c r="G92" s="602"/>
      <c r="H92" s="602">
        <v>2</v>
      </c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2"/>
      <c r="AP92" s="602"/>
      <c r="AQ92" s="602"/>
      <c r="AR92" s="602"/>
      <c r="AS92" s="602"/>
      <c r="AT92" s="602"/>
      <c r="AU92" s="602"/>
      <c r="AV92" s="602"/>
      <c r="AW92" s="602"/>
      <c r="AX92" s="602"/>
      <c r="AY92" s="602"/>
      <c r="AZ92" s="602"/>
      <c r="BA92" s="602"/>
      <c r="BB92" s="602"/>
      <c r="BC92" s="602"/>
      <c r="BD92" s="602"/>
      <c r="BE92" s="602"/>
      <c r="BF92" s="602"/>
      <c r="BG92" s="602"/>
      <c r="BH92" s="602"/>
      <c r="BI92" s="602"/>
      <c r="BJ92" s="602"/>
      <c r="BK92" s="602"/>
      <c r="BL92" s="602"/>
      <c r="BM92" s="602"/>
      <c r="BN92" s="602"/>
      <c r="BO92" s="602"/>
      <c r="BP92" s="602"/>
      <c r="BQ92" s="602"/>
      <c r="BR92" s="602"/>
      <c r="BS92" s="602"/>
      <c r="BT92" s="602">
        <v>3</v>
      </c>
      <c r="BU92" s="602"/>
      <c r="BV92" s="602"/>
      <c r="BW92" s="602"/>
      <c r="BX92" s="602"/>
      <c r="BY92" s="602"/>
      <c r="BZ92" s="602"/>
      <c r="CA92" s="602"/>
      <c r="CB92" s="602"/>
      <c r="CC92" s="602"/>
      <c r="CD92" s="602"/>
      <c r="CE92" s="602"/>
      <c r="CF92" s="602"/>
      <c r="CG92" s="602"/>
      <c r="CH92" s="602"/>
      <c r="CI92" s="602"/>
      <c r="CJ92" s="602">
        <v>4</v>
      </c>
      <c r="CK92" s="602"/>
      <c r="CL92" s="602"/>
      <c r="CM92" s="602"/>
      <c r="CN92" s="602"/>
      <c r="CO92" s="602"/>
      <c r="CP92" s="602"/>
      <c r="CQ92" s="602"/>
      <c r="CR92" s="602"/>
      <c r="CS92" s="602"/>
      <c r="CT92" s="602"/>
      <c r="CU92" s="602"/>
      <c r="CV92" s="602"/>
      <c r="CW92" s="602"/>
      <c r="CX92" s="602"/>
      <c r="CY92" s="602"/>
      <c r="CZ92" s="602"/>
      <c r="DA92" s="602"/>
    </row>
    <row r="93" spans="1:109" ht="15" customHeight="1" x14ac:dyDescent="0.25">
      <c r="A93" s="595" t="s">
        <v>381</v>
      </c>
      <c r="B93" s="595"/>
      <c r="C93" s="595"/>
      <c r="D93" s="595"/>
      <c r="E93" s="595"/>
      <c r="F93" s="595"/>
      <c r="G93" s="595"/>
      <c r="H93" s="653" t="s">
        <v>648</v>
      </c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2"/>
      <c r="AF93" s="612"/>
      <c r="AG93" s="612"/>
      <c r="AH93" s="612"/>
      <c r="AI93" s="612"/>
      <c r="AJ93" s="612"/>
      <c r="AK93" s="612"/>
      <c r="AL93" s="612"/>
      <c r="AM93" s="612"/>
      <c r="AN93" s="612"/>
      <c r="AO93" s="612"/>
      <c r="AP93" s="612"/>
      <c r="AQ93" s="612"/>
      <c r="AR93" s="612"/>
      <c r="AS93" s="612"/>
      <c r="AT93" s="612"/>
      <c r="AU93" s="612"/>
      <c r="AV93" s="612"/>
      <c r="AW93" s="612"/>
      <c r="AX93" s="612"/>
      <c r="AY93" s="612"/>
      <c r="AZ93" s="612"/>
      <c r="BA93" s="612"/>
      <c r="BB93" s="612"/>
      <c r="BC93" s="612"/>
      <c r="BD93" s="612"/>
      <c r="BE93" s="612"/>
      <c r="BF93" s="612"/>
      <c r="BG93" s="612"/>
      <c r="BH93" s="612"/>
      <c r="BI93" s="612"/>
      <c r="BJ93" s="612"/>
      <c r="BK93" s="612"/>
      <c r="BL93" s="612"/>
      <c r="BM93" s="612"/>
      <c r="BN93" s="612"/>
      <c r="BO93" s="612"/>
      <c r="BP93" s="612"/>
      <c r="BQ93" s="612"/>
      <c r="BR93" s="612"/>
      <c r="BS93" s="613"/>
      <c r="BT93" s="597"/>
      <c r="BU93" s="597"/>
      <c r="BV93" s="597"/>
      <c r="BW93" s="597"/>
      <c r="BX93" s="597"/>
      <c r="BY93" s="597"/>
      <c r="BZ93" s="597"/>
      <c r="CA93" s="597"/>
      <c r="CB93" s="597"/>
      <c r="CC93" s="597"/>
      <c r="CD93" s="597"/>
      <c r="CE93" s="597"/>
      <c r="CF93" s="597"/>
      <c r="CG93" s="597"/>
      <c r="CH93" s="597"/>
      <c r="CI93" s="597"/>
      <c r="CJ93" s="601">
        <f>580400-5846-10591+106492.14+5560+460218-69152</f>
        <v>1067081.1400000001</v>
      </c>
      <c r="CK93" s="601"/>
      <c r="CL93" s="601"/>
      <c r="CM93" s="601"/>
      <c r="CN93" s="601"/>
      <c r="CO93" s="601"/>
      <c r="CP93" s="601"/>
      <c r="CQ93" s="601"/>
      <c r="CR93" s="601"/>
      <c r="CS93" s="601"/>
      <c r="CT93" s="601"/>
      <c r="CU93" s="601"/>
      <c r="CV93" s="601"/>
      <c r="CW93" s="601"/>
      <c r="CX93" s="601"/>
      <c r="CY93" s="601"/>
      <c r="CZ93" s="601"/>
      <c r="DA93" s="601"/>
    </row>
    <row r="94" spans="1:109" ht="15" customHeight="1" x14ac:dyDescent="0.25">
      <c r="A94" s="595" t="s">
        <v>390</v>
      </c>
      <c r="B94" s="595"/>
      <c r="C94" s="595"/>
      <c r="D94" s="595"/>
      <c r="E94" s="595"/>
      <c r="F94" s="595"/>
      <c r="G94" s="595"/>
      <c r="H94" s="653" t="s">
        <v>649</v>
      </c>
      <c r="I94" s="612"/>
      <c r="J94" s="612"/>
      <c r="K94" s="612"/>
      <c r="L94" s="612"/>
      <c r="M94" s="612"/>
      <c r="N94" s="612"/>
      <c r="O94" s="612"/>
      <c r="P94" s="612"/>
      <c r="Q94" s="612"/>
      <c r="R94" s="612"/>
      <c r="S94" s="612"/>
      <c r="T94" s="612"/>
      <c r="U94" s="612"/>
      <c r="V94" s="612"/>
      <c r="W94" s="612"/>
      <c r="X94" s="612"/>
      <c r="Y94" s="612"/>
      <c r="Z94" s="612"/>
      <c r="AA94" s="612"/>
      <c r="AB94" s="612"/>
      <c r="AC94" s="612"/>
      <c r="AD94" s="612"/>
      <c r="AE94" s="612"/>
      <c r="AF94" s="612"/>
      <c r="AG94" s="612"/>
      <c r="AH94" s="612"/>
      <c r="AI94" s="612"/>
      <c r="AJ94" s="612"/>
      <c r="AK94" s="612"/>
      <c r="AL94" s="612"/>
      <c r="AM94" s="612"/>
      <c r="AN94" s="612"/>
      <c r="AO94" s="612"/>
      <c r="AP94" s="612"/>
      <c r="AQ94" s="612"/>
      <c r="AR94" s="612"/>
      <c r="AS94" s="612"/>
      <c r="AT94" s="612"/>
      <c r="AU94" s="612"/>
      <c r="AV94" s="612"/>
      <c r="AW94" s="612"/>
      <c r="AX94" s="612"/>
      <c r="AY94" s="612"/>
      <c r="AZ94" s="612"/>
      <c r="BA94" s="612"/>
      <c r="BB94" s="612"/>
      <c r="BC94" s="612"/>
      <c r="BD94" s="612"/>
      <c r="BE94" s="612"/>
      <c r="BF94" s="612"/>
      <c r="BG94" s="612"/>
      <c r="BH94" s="612"/>
      <c r="BI94" s="612"/>
      <c r="BJ94" s="612"/>
      <c r="BK94" s="612"/>
      <c r="BL94" s="612"/>
      <c r="BM94" s="612"/>
      <c r="BN94" s="612"/>
      <c r="BO94" s="612"/>
      <c r="BP94" s="612"/>
      <c r="BQ94" s="612"/>
      <c r="BR94" s="612"/>
      <c r="BS94" s="613"/>
      <c r="BT94" s="597"/>
      <c r="BU94" s="597"/>
      <c r="BV94" s="597"/>
      <c r="BW94" s="597"/>
      <c r="BX94" s="597"/>
      <c r="BY94" s="597"/>
      <c r="BZ94" s="597"/>
      <c r="CA94" s="597"/>
      <c r="CB94" s="597"/>
      <c r="CC94" s="597"/>
      <c r="CD94" s="597"/>
      <c r="CE94" s="597"/>
      <c r="CF94" s="597"/>
      <c r="CG94" s="597"/>
      <c r="CH94" s="597"/>
      <c r="CI94" s="597"/>
      <c r="CJ94" s="601">
        <f>602900-10718</f>
        <v>592182</v>
      </c>
      <c r="CK94" s="601"/>
      <c r="CL94" s="601"/>
      <c r="CM94" s="601"/>
      <c r="CN94" s="601"/>
      <c r="CO94" s="601"/>
      <c r="CP94" s="601"/>
      <c r="CQ94" s="601"/>
      <c r="CR94" s="601"/>
      <c r="CS94" s="601"/>
      <c r="CT94" s="601"/>
      <c r="CU94" s="601"/>
      <c r="CV94" s="601"/>
      <c r="CW94" s="601"/>
      <c r="CX94" s="601"/>
      <c r="CY94" s="601"/>
      <c r="CZ94" s="601"/>
      <c r="DA94" s="601"/>
    </row>
    <row r="95" spans="1:109" ht="15" customHeight="1" x14ac:dyDescent="0.25">
      <c r="A95" s="595" t="s">
        <v>406</v>
      </c>
      <c r="B95" s="595"/>
      <c r="C95" s="595"/>
      <c r="D95" s="595"/>
      <c r="E95" s="595"/>
      <c r="F95" s="595"/>
      <c r="G95" s="595"/>
      <c r="H95" s="653" t="s">
        <v>404</v>
      </c>
      <c r="I95" s="612"/>
      <c r="J95" s="612"/>
      <c r="K95" s="612"/>
      <c r="L95" s="612"/>
      <c r="M95" s="612"/>
      <c r="N95" s="612"/>
      <c r="O95" s="612"/>
      <c r="P95" s="612"/>
      <c r="Q95" s="612"/>
      <c r="R95" s="612"/>
      <c r="S95" s="612"/>
      <c r="T95" s="612"/>
      <c r="U95" s="612"/>
      <c r="V95" s="612"/>
      <c r="W95" s="612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  <c r="AH95" s="612"/>
      <c r="AI95" s="612"/>
      <c r="AJ95" s="612"/>
      <c r="AK95" s="612"/>
      <c r="AL95" s="612"/>
      <c r="AM95" s="612"/>
      <c r="AN95" s="612"/>
      <c r="AO95" s="612"/>
      <c r="AP95" s="612"/>
      <c r="AQ95" s="612"/>
      <c r="AR95" s="612"/>
      <c r="AS95" s="612"/>
      <c r="AT95" s="612"/>
      <c r="AU95" s="612"/>
      <c r="AV95" s="612"/>
      <c r="AW95" s="612"/>
      <c r="AX95" s="612"/>
      <c r="AY95" s="612"/>
      <c r="AZ95" s="612"/>
      <c r="BA95" s="612"/>
      <c r="BB95" s="612"/>
      <c r="BC95" s="612"/>
      <c r="BD95" s="612"/>
      <c r="BE95" s="612"/>
      <c r="BF95" s="612"/>
      <c r="BG95" s="612"/>
      <c r="BH95" s="612"/>
      <c r="BI95" s="612"/>
      <c r="BJ95" s="612"/>
      <c r="BK95" s="612"/>
      <c r="BL95" s="612"/>
      <c r="BM95" s="612"/>
      <c r="BN95" s="612"/>
      <c r="BO95" s="612"/>
      <c r="BP95" s="612"/>
      <c r="BQ95" s="612"/>
      <c r="BR95" s="612"/>
      <c r="BS95" s="613"/>
      <c r="BT95" s="597"/>
      <c r="BU95" s="597"/>
      <c r="BV95" s="597"/>
      <c r="BW95" s="597"/>
      <c r="BX95" s="597"/>
      <c r="BY95" s="597"/>
      <c r="BZ95" s="597"/>
      <c r="CA95" s="597"/>
      <c r="CB95" s="597"/>
      <c r="CC95" s="597"/>
      <c r="CD95" s="597"/>
      <c r="CE95" s="597"/>
      <c r="CF95" s="597"/>
      <c r="CG95" s="597"/>
      <c r="CH95" s="597"/>
      <c r="CI95" s="597"/>
      <c r="CJ95" s="601">
        <v>69152</v>
      </c>
      <c r="CK95" s="601"/>
      <c r="CL95" s="601"/>
      <c r="CM95" s="601"/>
      <c r="CN95" s="601"/>
      <c r="CO95" s="601"/>
      <c r="CP95" s="601"/>
      <c r="CQ95" s="601"/>
      <c r="CR95" s="601"/>
      <c r="CS95" s="601"/>
      <c r="CT95" s="601"/>
      <c r="CU95" s="601"/>
      <c r="CV95" s="601"/>
      <c r="CW95" s="601"/>
      <c r="CX95" s="601"/>
      <c r="CY95" s="601"/>
      <c r="CZ95" s="601"/>
      <c r="DA95" s="601"/>
    </row>
    <row r="96" spans="1:109" ht="15" customHeight="1" x14ac:dyDescent="0.25">
      <c r="A96" s="595" t="s">
        <v>409</v>
      </c>
      <c r="B96" s="595"/>
      <c r="C96" s="595"/>
      <c r="D96" s="595"/>
      <c r="E96" s="595"/>
      <c r="F96" s="595"/>
      <c r="G96" s="595"/>
      <c r="H96" s="653" t="s">
        <v>884</v>
      </c>
      <c r="I96" s="612"/>
      <c r="J96" s="612"/>
      <c r="K96" s="612"/>
      <c r="L96" s="612"/>
      <c r="M96" s="612"/>
      <c r="N96" s="612"/>
      <c r="O96" s="612"/>
      <c r="P96" s="612"/>
      <c r="Q96" s="612"/>
      <c r="R96" s="612"/>
      <c r="S96" s="612"/>
      <c r="T96" s="612"/>
      <c r="U96" s="612"/>
      <c r="V96" s="612"/>
      <c r="W96" s="612"/>
      <c r="X96" s="612"/>
      <c r="Y96" s="612"/>
      <c r="Z96" s="612"/>
      <c r="AA96" s="612"/>
      <c r="AB96" s="612"/>
      <c r="AC96" s="612"/>
      <c r="AD96" s="612"/>
      <c r="AE96" s="612"/>
      <c r="AF96" s="612"/>
      <c r="AG96" s="612"/>
      <c r="AH96" s="612"/>
      <c r="AI96" s="612"/>
      <c r="AJ96" s="612"/>
      <c r="AK96" s="612"/>
      <c r="AL96" s="612"/>
      <c r="AM96" s="612"/>
      <c r="AN96" s="612"/>
      <c r="AO96" s="612"/>
      <c r="AP96" s="612"/>
      <c r="AQ96" s="612"/>
      <c r="AR96" s="612"/>
      <c r="AS96" s="612"/>
      <c r="AT96" s="612"/>
      <c r="AU96" s="612"/>
      <c r="AV96" s="612"/>
      <c r="AW96" s="612"/>
      <c r="AX96" s="612"/>
      <c r="AY96" s="612"/>
      <c r="AZ96" s="612"/>
      <c r="BA96" s="612"/>
      <c r="BB96" s="612"/>
      <c r="BC96" s="612"/>
      <c r="BD96" s="612"/>
      <c r="BE96" s="612"/>
      <c r="BF96" s="612"/>
      <c r="BG96" s="612"/>
      <c r="BH96" s="612"/>
      <c r="BI96" s="612"/>
      <c r="BJ96" s="612"/>
      <c r="BK96" s="612"/>
      <c r="BL96" s="612"/>
      <c r="BM96" s="612"/>
      <c r="BN96" s="612"/>
      <c r="BO96" s="612"/>
      <c r="BP96" s="612"/>
      <c r="BQ96" s="612"/>
      <c r="BR96" s="612"/>
      <c r="BS96" s="613"/>
      <c r="BT96" s="597"/>
      <c r="BU96" s="597"/>
      <c r="BV96" s="597"/>
      <c r="BW96" s="597"/>
      <c r="BX96" s="597"/>
      <c r="BY96" s="597"/>
      <c r="BZ96" s="597"/>
      <c r="CA96" s="597"/>
      <c r="CB96" s="597"/>
      <c r="CC96" s="597"/>
      <c r="CD96" s="597"/>
      <c r="CE96" s="597"/>
      <c r="CF96" s="597"/>
      <c r="CG96" s="597"/>
      <c r="CH96" s="597"/>
      <c r="CI96" s="597"/>
      <c r="CJ96" s="601"/>
      <c r="CK96" s="601"/>
      <c r="CL96" s="601"/>
      <c r="CM96" s="601"/>
      <c r="CN96" s="601"/>
      <c r="CO96" s="601"/>
      <c r="CP96" s="601"/>
      <c r="CQ96" s="601"/>
      <c r="CR96" s="601"/>
      <c r="CS96" s="601"/>
      <c r="CT96" s="601"/>
      <c r="CU96" s="601"/>
      <c r="CV96" s="601"/>
      <c r="CW96" s="601"/>
      <c r="CX96" s="601"/>
      <c r="CY96" s="601"/>
      <c r="CZ96" s="601"/>
      <c r="DA96" s="601"/>
    </row>
    <row r="97" spans="1:109" ht="15" customHeight="1" x14ac:dyDescent="0.25">
      <c r="A97" s="595" t="s">
        <v>418</v>
      </c>
      <c r="B97" s="595"/>
      <c r="C97" s="595"/>
      <c r="D97" s="595"/>
      <c r="E97" s="595"/>
      <c r="F97" s="595"/>
      <c r="G97" s="595"/>
      <c r="H97" s="653" t="s">
        <v>650</v>
      </c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2"/>
      <c r="W97" s="612"/>
      <c r="X97" s="612"/>
      <c r="Y97" s="612"/>
      <c r="Z97" s="612"/>
      <c r="AA97" s="612"/>
      <c r="AB97" s="612"/>
      <c r="AC97" s="612"/>
      <c r="AD97" s="612"/>
      <c r="AE97" s="612"/>
      <c r="AF97" s="612"/>
      <c r="AG97" s="612"/>
      <c r="AH97" s="612"/>
      <c r="AI97" s="612"/>
      <c r="AJ97" s="612"/>
      <c r="AK97" s="612"/>
      <c r="AL97" s="612"/>
      <c r="AM97" s="612"/>
      <c r="AN97" s="612"/>
      <c r="AO97" s="612"/>
      <c r="AP97" s="612"/>
      <c r="AQ97" s="612"/>
      <c r="AR97" s="612"/>
      <c r="AS97" s="612"/>
      <c r="AT97" s="612"/>
      <c r="AU97" s="612"/>
      <c r="AV97" s="612"/>
      <c r="AW97" s="612"/>
      <c r="AX97" s="612"/>
      <c r="AY97" s="612"/>
      <c r="AZ97" s="612"/>
      <c r="BA97" s="612"/>
      <c r="BB97" s="612"/>
      <c r="BC97" s="612"/>
      <c r="BD97" s="612"/>
      <c r="BE97" s="612"/>
      <c r="BF97" s="612"/>
      <c r="BG97" s="612"/>
      <c r="BH97" s="612"/>
      <c r="BI97" s="612"/>
      <c r="BJ97" s="612"/>
      <c r="BK97" s="612"/>
      <c r="BL97" s="612"/>
      <c r="BM97" s="612"/>
      <c r="BN97" s="612"/>
      <c r="BO97" s="612"/>
      <c r="BP97" s="612"/>
      <c r="BQ97" s="612"/>
      <c r="BR97" s="612"/>
      <c r="BS97" s="613"/>
      <c r="BT97" s="597"/>
      <c r="BU97" s="597"/>
      <c r="BV97" s="597"/>
      <c r="BW97" s="597"/>
      <c r="BX97" s="597"/>
      <c r="BY97" s="597"/>
      <c r="BZ97" s="597"/>
      <c r="CA97" s="597"/>
      <c r="CB97" s="597"/>
      <c r="CC97" s="597"/>
      <c r="CD97" s="597"/>
      <c r="CE97" s="597"/>
      <c r="CF97" s="597"/>
      <c r="CG97" s="597"/>
      <c r="CH97" s="597"/>
      <c r="CI97" s="597"/>
      <c r="CJ97" s="654"/>
      <c r="CK97" s="601"/>
      <c r="CL97" s="601"/>
      <c r="CM97" s="601"/>
      <c r="CN97" s="601"/>
      <c r="CO97" s="601"/>
      <c r="CP97" s="601"/>
      <c r="CQ97" s="601"/>
      <c r="CR97" s="601"/>
      <c r="CS97" s="601"/>
      <c r="CT97" s="601"/>
      <c r="CU97" s="601"/>
      <c r="CV97" s="601"/>
      <c r="CW97" s="601"/>
      <c r="CX97" s="601"/>
      <c r="CY97" s="601"/>
      <c r="CZ97" s="601"/>
      <c r="DA97" s="601"/>
    </row>
    <row r="98" spans="1:109" ht="15" customHeight="1" x14ac:dyDescent="0.25">
      <c r="A98" s="595"/>
      <c r="B98" s="595"/>
      <c r="C98" s="595"/>
      <c r="D98" s="595"/>
      <c r="E98" s="595"/>
      <c r="F98" s="595"/>
      <c r="G98" s="595"/>
      <c r="H98" s="655" t="s">
        <v>610</v>
      </c>
      <c r="I98" s="656"/>
      <c r="J98" s="656"/>
      <c r="K98" s="656"/>
      <c r="L98" s="656"/>
      <c r="M98" s="656"/>
      <c r="N98" s="656"/>
      <c r="O98" s="656"/>
      <c r="P98" s="656"/>
      <c r="Q98" s="656"/>
      <c r="R98" s="656"/>
      <c r="S98" s="656"/>
      <c r="T98" s="656"/>
      <c r="U98" s="656"/>
      <c r="V98" s="656"/>
      <c r="W98" s="656"/>
      <c r="X98" s="656"/>
      <c r="Y98" s="656"/>
      <c r="Z98" s="656"/>
      <c r="AA98" s="656"/>
      <c r="AB98" s="656"/>
      <c r="AC98" s="656"/>
      <c r="AD98" s="656"/>
      <c r="AE98" s="656"/>
      <c r="AF98" s="656"/>
      <c r="AG98" s="656"/>
      <c r="AH98" s="656"/>
      <c r="AI98" s="656"/>
      <c r="AJ98" s="656"/>
      <c r="AK98" s="656"/>
      <c r="AL98" s="656"/>
      <c r="AM98" s="656"/>
      <c r="AN98" s="656"/>
      <c r="AO98" s="656"/>
      <c r="AP98" s="656"/>
      <c r="AQ98" s="656"/>
      <c r="AR98" s="656"/>
      <c r="AS98" s="656"/>
      <c r="AT98" s="656"/>
      <c r="AU98" s="656"/>
      <c r="AV98" s="656"/>
      <c r="AW98" s="656"/>
      <c r="AX98" s="656"/>
      <c r="AY98" s="656"/>
      <c r="AZ98" s="656"/>
      <c r="BA98" s="656"/>
      <c r="BB98" s="656"/>
      <c r="BC98" s="656"/>
      <c r="BD98" s="656"/>
      <c r="BE98" s="656"/>
      <c r="BF98" s="656"/>
      <c r="BG98" s="656"/>
      <c r="BH98" s="656"/>
      <c r="BI98" s="656"/>
      <c r="BJ98" s="656"/>
      <c r="BK98" s="656"/>
      <c r="BL98" s="656"/>
      <c r="BM98" s="656"/>
      <c r="BN98" s="656"/>
      <c r="BO98" s="656"/>
      <c r="BP98" s="656"/>
      <c r="BQ98" s="656"/>
      <c r="BR98" s="656"/>
      <c r="BS98" s="657"/>
      <c r="BT98" s="597" t="s">
        <v>487</v>
      </c>
      <c r="BU98" s="597"/>
      <c r="BV98" s="597"/>
      <c r="BW98" s="597"/>
      <c r="BX98" s="597"/>
      <c r="BY98" s="597"/>
      <c r="BZ98" s="597"/>
      <c r="CA98" s="597"/>
      <c r="CB98" s="597"/>
      <c r="CC98" s="597"/>
      <c r="CD98" s="597"/>
      <c r="CE98" s="597"/>
      <c r="CF98" s="597"/>
      <c r="CG98" s="597"/>
      <c r="CH98" s="597"/>
      <c r="CI98" s="597"/>
      <c r="CJ98" s="608">
        <f>SUM(CJ93:DA97)</f>
        <v>1728415.1400000001</v>
      </c>
      <c r="CK98" s="608"/>
      <c r="CL98" s="608"/>
      <c r="CM98" s="608"/>
      <c r="CN98" s="608"/>
      <c r="CO98" s="608"/>
      <c r="CP98" s="608"/>
      <c r="CQ98" s="608"/>
      <c r="CR98" s="608"/>
      <c r="CS98" s="608"/>
      <c r="CT98" s="608"/>
      <c r="CU98" s="608"/>
      <c r="CV98" s="608"/>
      <c r="CW98" s="608"/>
      <c r="CX98" s="608"/>
      <c r="CY98" s="608"/>
      <c r="CZ98" s="608"/>
      <c r="DA98" s="608"/>
      <c r="DE98" s="319">
        <v>226</v>
      </c>
    </row>
    <row r="100" spans="1:109" ht="12" customHeight="1" x14ac:dyDescent="0.25">
      <c r="DE100" s="320"/>
    </row>
    <row r="101" spans="1:109" s="315" customFormat="1" ht="28.5" customHeight="1" x14ac:dyDescent="0.2">
      <c r="A101" s="591" t="s">
        <v>651</v>
      </c>
      <c r="B101" s="591"/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91"/>
      <c r="AS101" s="591"/>
      <c r="AT101" s="591"/>
      <c r="AU101" s="591"/>
      <c r="AV101" s="591"/>
      <c r="AW101" s="591"/>
      <c r="AX101" s="591"/>
      <c r="AY101" s="591"/>
      <c r="AZ101" s="591"/>
      <c r="BA101" s="591"/>
      <c r="BB101" s="591"/>
      <c r="BC101" s="591"/>
      <c r="BD101" s="591"/>
      <c r="BE101" s="591"/>
      <c r="BF101" s="591"/>
      <c r="BG101" s="591"/>
      <c r="BH101" s="591"/>
      <c r="BI101" s="591"/>
      <c r="BJ101" s="591"/>
      <c r="BK101" s="591"/>
      <c r="BL101" s="591"/>
      <c r="BM101" s="591"/>
      <c r="BN101" s="591"/>
      <c r="BO101" s="591"/>
      <c r="BP101" s="591"/>
      <c r="BQ101" s="591"/>
      <c r="BR101" s="591"/>
      <c r="BS101" s="591"/>
      <c r="BT101" s="591"/>
      <c r="BU101" s="591"/>
      <c r="BV101" s="591"/>
      <c r="BW101" s="591"/>
      <c r="BX101" s="591"/>
      <c r="BY101" s="591"/>
      <c r="BZ101" s="591"/>
      <c r="CA101" s="591"/>
      <c r="CB101" s="591"/>
      <c r="CC101" s="591"/>
      <c r="CD101" s="591"/>
      <c r="CE101" s="591"/>
      <c r="CF101" s="591"/>
      <c r="CG101" s="591"/>
      <c r="CH101" s="591"/>
      <c r="CI101" s="591"/>
      <c r="CJ101" s="591"/>
      <c r="CK101" s="591"/>
      <c r="CL101" s="591"/>
      <c r="CM101" s="591"/>
      <c r="CN101" s="591"/>
      <c r="CO101" s="591"/>
      <c r="CP101" s="591"/>
      <c r="CQ101" s="591"/>
      <c r="CR101" s="591"/>
      <c r="CS101" s="591"/>
      <c r="CT101" s="591"/>
      <c r="CU101" s="591"/>
      <c r="CV101" s="591"/>
      <c r="CW101" s="591"/>
      <c r="CX101" s="591"/>
      <c r="CY101" s="591"/>
      <c r="CZ101" s="591"/>
      <c r="DA101" s="591"/>
      <c r="DE101" s="316"/>
    </row>
    <row r="102" spans="1:109" ht="10.5" customHeight="1" x14ac:dyDescent="0.25">
      <c r="DE102" s="317"/>
    </row>
    <row r="103" spans="1:109" s="318" customFormat="1" ht="30" customHeight="1" x14ac:dyDescent="0.25">
      <c r="A103" s="592" t="s">
        <v>146</v>
      </c>
      <c r="B103" s="593"/>
      <c r="C103" s="593"/>
      <c r="D103" s="593"/>
      <c r="E103" s="593"/>
      <c r="F103" s="593"/>
      <c r="G103" s="594"/>
      <c r="H103" s="592" t="s">
        <v>617</v>
      </c>
      <c r="I103" s="593"/>
      <c r="J103" s="593"/>
      <c r="K103" s="593"/>
      <c r="L103" s="593"/>
      <c r="M103" s="593"/>
      <c r="N103" s="593"/>
      <c r="O103" s="593"/>
      <c r="P103" s="593"/>
      <c r="Q103" s="593"/>
      <c r="R103" s="593"/>
      <c r="S103" s="593"/>
      <c r="T103" s="593"/>
      <c r="U103" s="593"/>
      <c r="V103" s="593"/>
      <c r="W103" s="593"/>
      <c r="X103" s="593"/>
      <c r="Y103" s="593"/>
      <c r="Z103" s="593"/>
      <c r="AA103" s="593"/>
      <c r="AB103" s="593"/>
      <c r="AC103" s="593"/>
      <c r="AD103" s="593"/>
      <c r="AE103" s="593"/>
      <c r="AF103" s="593"/>
      <c r="AG103" s="593"/>
      <c r="AH103" s="593"/>
      <c r="AI103" s="593"/>
      <c r="AJ103" s="593"/>
      <c r="AK103" s="593"/>
      <c r="AL103" s="593"/>
      <c r="AM103" s="593"/>
      <c r="AN103" s="593"/>
      <c r="AO103" s="593"/>
      <c r="AP103" s="593"/>
      <c r="AQ103" s="593"/>
      <c r="AR103" s="593"/>
      <c r="AS103" s="593"/>
      <c r="AT103" s="593"/>
      <c r="AU103" s="593"/>
      <c r="AV103" s="593"/>
      <c r="AW103" s="593"/>
      <c r="AX103" s="593"/>
      <c r="AY103" s="593"/>
      <c r="AZ103" s="593"/>
      <c r="BA103" s="593"/>
      <c r="BB103" s="593"/>
      <c r="BC103" s="594"/>
      <c r="BD103" s="592" t="s">
        <v>2</v>
      </c>
      <c r="BE103" s="593"/>
      <c r="BF103" s="593"/>
      <c r="BG103" s="593"/>
      <c r="BH103" s="593"/>
      <c r="BI103" s="593"/>
      <c r="BJ103" s="593"/>
      <c r="BK103" s="593"/>
      <c r="BL103" s="593"/>
      <c r="BM103" s="593"/>
      <c r="BN103" s="593"/>
      <c r="BO103" s="593"/>
      <c r="BP103" s="593"/>
      <c r="BQ103" s="593"/>
      <c r="BR103" s="593"/>
      <c r="BS103" s="594"/>
      <c r="BT103" s="592" t="s">
        <v>652</v>
      </c>
      <c r="BU103" s="593"/>
      <c r="BV103" s="593"/>
      <c r="BW103" s="593"/>
      <c r="BX103" s="593"/>
      <c r="BY103" s="593"/>
      <c r="BZ103" s="593"/>
      <c r="CA103" s="593"/>
      <c r="CB103" s="593"/>
      <c r="CC103" s="593"/>
      <c r="CD103" s="593"/>
      <c r="CE103" s="593"/>
      <c r="CF103" s="593"/>
      <c r="CG103" s="593"/>
      <c r="CH103" s="593"/>
      <c r="CI103" s="594"/>
      <c r="CJ103" s="592" t="s">
        <v>653</v>
      </c>
      <c r="CK103" s="593"/>
      <c r="CL103" s="593"/>
      <c r="CM103" s="593"/>
      <c r="CN103" s="593"/>
      <c r="CO103" s="593"/>
      <c r="CP103" s="593"/>
      <c r="CQ103" s="593"/>
      <c r="CR103" s="593"/>
      <c r="CS103" s="593"/>
      <c r="CT103" s="593"/>
      <c r="CU103" s="593"/>
      <c r="CV103" s="593"/>
      <c r="CW103" s="593"/>
      <c r="CX103" s="593"/>
      <c r="CY103" s="593"/>
      <c r="CZ103" s="593"/>
      <c r="DA103" s="594"/>
      <c r="DE103" s="317"/>
    </row>
    <row r="104" spans="1:109" s="209" customFormat="1" ht="12.75" x14ac:dyDescent="0.25">
      <c r="A104" s="602"/>
      <c r="B104" s="602"/>
      <c r="C104" s="602"/>
      <c r="D104" s="602"/>
      <c r="E104" s="602"/>
      <c r="F104" s="602"/>
      <c r="G104" s="602"/>
      <c r="H104" s="602">
        <v>1</v>
      </c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  <c r="Y104" s="602"/>
      <c r="Z104" s="602"/>
      <c r="AA104" s="602"/>
      <c r="AB104" s="602"/>
      <c r="AC104" s="602"/>
      <c r="AD104" s="602"/>
      <c r="AE104" s="602"/>
      <c r="AF104" s="602"/>
      <c r="AG104" s="602"/>
      <c r="AH104" s="602"/>
      <c r="AI104" s="602"/>
      <c r="AJ104" s="602"/>
      <c r="AK104" s="602"/>
      <c r="AL104" s="602"/>
      <c r="AM104" s="602"/>
      <c r="AN104" s="602"/>
      <c r="AO104" s="602"/>
      <c r="AP104" s="602"/>
      <c r="AQ104" s="602"/>
      <c r="AR104" s="602"/>
      <c r="AS104" s="602"/>
      <c r="AT104" s="602"/>
      <c r="AU104" s="602"/>
      <c r="AV104" s="602"/>
      <c r="AW104" s="602"/>
      <c r="AX104" s="602"/>
      <c r="AY104" s="602"/>
      <c r="AZ104" s="602"/>
      <c r="BA104" s="602"/>
      <c r="BB104" s="602"/>
      <c r="BC104" s="602"/>
      <c r="BD104" s="602">
        <v>2</v>
      </c>
      <c r="BE104" s="602"/>
      <c r="BF104" s="602"/>
      <c r="BG104" s="602"/>
      <c r="BH104" s="602"/>
      <c r="BI104" s="602"/>
      <c r="BJ104" s="602"/>
      <c r="BK104" s="602"/>
      <c r="BL104" s="602"/>
      <c r="BM104" s="602"/>
      <c r="BN104" s="602"/>
      <c r="BO104" s="602"/>
      <c r="BP104" s="602"/>
      <c r="BQ104" s="602"/>
      <c r="BR104" s="602"/>
      <c r="BS104" s="602"/>
      <c r="BT104" s="602">
        <v>3</v>
      </c>
      <c r="BU104" s="602"/>
      <c r="BV104" s="602"/>
      <c r="BW104" s="602"/>
      <c r="BX104" s="602"/>
      <c r="BY104" s="602"/>
      <c r="BZ104" s="602"/>
      <c r="CA104" s="602"/>
      <c r="CB104" s="602"/>
      <c r="CC104" s="602"/>
      <c r="CD104" s="602"/>
      <c r="CE104" s="602"/>
      <c r="CF104" s="602"/>
      <c r="CG104" s="602"/>
      <c r="CH104" s="602"/>
      <c r="CI104" s="602"/>
      <c r="CJ104" s="602">
        <v>4</v>
      </c>
      <c r="CK104" s="602"/>
      <c r="CL104" s="602"/>
      <c r="CM104" s="602"/>
      <c r="CN104" s="602"/>
      <c r="CO104" s="602"/>
      <c r="CP104" s="602"/>
      <c r="CQ104" s="602"/>
      <c r="CR104" s="602"/>
      <c r="CS104" s="602"/>
      <c r="CT104" s="602"/>
      <c r="CU104" s="602"/>
      <c r="CV104" s="602"/>
      <c r="CW104" s="602"/>
      <c r="CX104" s="602"/>
      <c r="CY104" s="602"/>
      <c r="CZ104" s="602"/>
      <c r="DA104" s="602"/>
      <c r="DE104" s="317"/>
    </row>
    <row r="105" spans="1:109" s="317" customFormat="1" ht="12.75" x14ac:dyDescent="0.25">
      <c r="A105" s="595" t="s">
        <v>654</v>
      </c>
      <c r="B105" s="595"/>
      <c r="C105" s="595"/>
      <c r="D105" s="595"/>
      <c r="E105" s="595"/>
      <c r="F105" s="595"/>
      <c r="G105" s="595"/>
      <c r="H105" s="596" t="s">
        <v>655</v>
      </c>
      <c r="I105" s="596"/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6"/>
      <c r="X105" s="596"/>
      <c r="Y105" s="596"/>
      <c r="Z105" s="596"/>
      <c r="AA105" s="596"/>
      <c r="AB105" s="596"/>
      <c r="AC105" s="596"/>
      <c r="AD105" s="596"/>
      <c r="AE105" s="596"/>
      <c r="AF105" s="596"/>
      <c r="AG105" s="596"/>
      <c r="AH105" s="596"/>
      <c r="AI105" s="596"/>
      <c r="AJ105" s="596"/>
      <c r="AK105" s="596"/>
      <c r="AL105" s="596"/>
      <c r="AM105" s="596"/>
      <c r="AN105" s="596"/>
      <c r="AO105" s="596"/>
      <c r="AP105" s="596"/>
      <c r="AQ105" s="596"/>
      <c r="AR105" s="596"/>
      <c r="AS105" s="596"/>
      <c r="AT105" s="596"/>
      <c r="AU105" s="596"/>
      <c r="AV105" s="596"/>
      <c r="AW105" s="596"/>
      <c r="AX105" s="596"/>
      <c r="AY105" s="596"/>
      <c r="AZ105" s="596"/>
      <c r="BA105" s="596"/>
      <c r="BB105" s="596"/>
      <c r="BC105" s="596"/>
      <c r="BD105" s="597"/>
      <c r="BE105" s="597"/>
      <c r="BF105" s="597"/>
      <c r="BG105" s="597"/>
      <c r="BH105" s="597"/>
      <c r="BI105" s="597"/>
      <c r="BJ105" s="597"/>
      <c r="BK105" s="597"/>
      <c r="BL105" s="597"/>
      <c r="BM105" s="597"/>
      <c r="BN105" s="597"/>
      <c r="BO105" s="597"/>
      <c r="BP105" s="597"/>
      <c r="BQ105" s="597"/>
      <c r="BR105" s="597"/>
      <c r="BS105" s="597"/>
      <c r="BT105" s="597"/>
      <c r="BU105" s="597"/>
      <c r="BV105" s="597"/>
      <c r="BW105" s="597"/>
      <c r="BX105" s="597"/>
      <c r="BY105" s="597"/>
      <c r="BZ105" s="597"/>
      <c r="CA105" s="597"/>
      <c r="CB105" s="597"/>
      <c r="CC105" s="597"/>
      <c r="CD105" s="597"/>
      <c r="CE105" s="597"/>
      <c r="CF105" s="597"/>
      <c r="CG105" s="597"/>
      <c r="CH105" s="597"/>
      <c r="CI105" s="597"/>
      <c r="CJ105" s="608">
        <v>2281944.75</v>
      </c>
      <c r="CK105" s="608"/>
      <c r="CL105" s="608"/>
      <c r="CM105" s="608"/>
      <c r="CN105" s="608"/>
      <c r="CO105" s="608"/>
      <c r="CP105" s="608"/>
      <c r="CQ105" s="608"/>
      <c r="CR105" s="608"/>
      <c r="CS105" s="608"/>
      <c r="CT105" s="608"/>
      <c r="CU105" s="608"/>
      <c r="CV105" s="608"/>
      <c r="CW105" s="608"/>
      <c r="CX105" s="608"/>
      <c r="CY105" s="608"/>
      <c r="CZ105" s="608"/>
      <c r="DA105" s="608"/>
    </row>
    <row r="106" spans="1:109" s="317" customFormat="1" ht="28.5" customHeight="1" x14ac:dyDescent="0.25">
      <c r="A106" s="595" t="s">
        <v>656</v>
      </c>
      <c r="B106" s="595"/>
      <c r="C106" s="595"/>
      <c r="D106" s="595"/>
      <c r="E106" s="595"/>
      <c r="F106" s="595"/>
      <c r="G106" s="595"/>
      <c r="H106" s="596" t="s">
        <v>657</v>
      </c>
      <c r="I106" s="596"/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596"/>
      <c r="Y106" s="596"/>
      <c r="Z106" s="596"/>
      <c r="AA106" s="596"/>
      <c r="AB106" s="596"/>
      <c r="AC106" s="596"/>
      <c r="AD106" s="596"/>
      <c r="AE106" s="596"/>
      <c r="AF106" s="596"/>
      <c r="AG106" s="596"/>
      <c r="AH106" s="596"/>
      <c r="AI106" s="596"/>
      <c r="AJ106" s="596"/>
      <c r="AK106" s="596"/>
      <c r="AL106" s="596"/>
      <c r="AM106" s="596"/>
      <c r="AN106" s="596"/>
      <c r="AO106" s="596"/>
      <c r="AP106" s="596"/>
      <c r="AQ106" s="596"/>
      <c r="AR106" s="596"/>
      <c r="AS106" s="596"/>
      <c r="AT106" s="596"/>
      <c r="AU106" s="596"/>
      <c r="AV106" s="596"/>
      <c r="AW106" s="596"/>
      <c r="AX106" s="596"/>
      <c r="AY106" s="596"/>
      <c r="AZ106" s="596"/>
      <c r="BA106" s="596"/>
      <c r="BB106" s="596"/>
      <c r="BC106" s="596"/>
      <c r="BD106" s="597"/>
      <c r="BE106" s="597"/>
      <c r="BF106" s="597"/>
      <c r="BG106" s="597"/>
      <c r="BH106" s="597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597"/>
      <c r="BS106" s="597"/>
      <c r="BT106" s="597"/>
      <c r="BU106" s="597"/>
      <c r="BV106" s="597"/>
      <c r="BW106" s="597"/>
      <c r="BX106" s="597"/>
      <c r="BY106" s="597"/>
      <c r="BZ106" s="597"/>
      <c r="CA106" s="597"/>
      <c r="CB106" s="597"/>
      <c r="CC106" s="597"/>
      <c r="CD106" s="597"/>
      <c r="CE106" s="597"/>
      <c r="CF106" s="597"/>
      <c r="CG106" s="597"/>
      <c r="CH106" s="597"/>
      <c r="CI106" s="597"/>
      <c r="CJ106" s="601">
        <v>13884</v>
      </c>
      <c r="CK106" s="601"/>
      <c r="CL106" s="601"/>
      <c r="CM106" s="601"/>
      <c r="CN106" s="601"/>
      <c r="CO106" s="601"/>
      <c r="CP106" s="601"/>
      <c r="CQ106" s="601"/>
      <c r="CR106" s="601"/>
      <c r="CS106" s="601"/>
      <c r="CT106" s="601"/>
      <c r="CU106" s="601"/>
      <c r="CV106" s="601"/>
      <c r="CW106" s="601"/>
      <c r="CX106" s="601"/>
      <c r="CY106" s="601"/>
      <c r="CZ106" s="601"/>
      <c r="DA106" s="601"/>
    </row>
    <row r="107" spans="1:109" s="317" customFormat="1" ht="12.75" x14ac:dyDescent="0.25">
      <c r="A107" s="595" t="s">
        <v>658</v>
      </c>
      <c r="B107" s="595"/>
      <c r="C107" s="595"/>
      <c r="D107" s="595"/>
      <c r="E107" s="595"/>
      <c r="F107" s="595"/>
      <c r="G107" s="595"/>
      <c r="H107" s="596" t="s">
        <v>659</v>
      </c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6"/>
      <c r="X107" s="596"/>
      <c r="Y107" s="596"/>
      <c r="Z107" s="596"/>
      <c r="AA107" s="596"/>
      <c r="AB107" s="596"/>
      <c r="AC107" s="596"/>
      <c r="AD107" s="596"/>
      <c r="AE107" s="596"/>
      <c r="AF107" s="596"/>
      <c r="AG107" s="596"/>
      <c r="AH107" s="596"/>
      <c r="AI107" s="596"/>
      <c r="AJ107" s="596"/>
      <c r="AK107" s="596"/>
      <c r="AL107" s="596"/>
      <c r="AM107" s="596"/>
      <c r="AN107" s="596"/>
      <c r="AO107" s="596"/>
      <c r="AP107" s="596"/>
      <c r="AQ107" s="596"/>
      <c r="AR107" s="596"/>
      <c r="AS107" s="596"/>
      <c r="AT107" s="596"/>
      <c r="AU107" s="596"/>
      <c r="AV107" s="596"/>
      <c r="AW107" s="596"/>
      <c r="AX107" s="596"/>
      <c r="AY107" s="596"/>
      <c r="AZ107" s="596"/>
      <c r="BA107" s="596"/>
      <c r="BB107" s="596"/>
      <c r="BC107" s="596"/>
      <c r="BD107" s="597"/>
      <c r="BE107" s="597"/>
      <c r="BF107" s="597"/>
      <c r="BG107" s="597"/>
      <c r="BH107" s="597"/>
      <c r="BI107" s="597"/>
      <c r="BJ107" s="597"/>
      <c r="BK107" s="597"/>
      <c r="BL107" s="597"/>
      <c r="BM107" s="597"/>
      <c r="BN107" s="597"/>
      <c r="BO107" s="597"/>
      <c r="BP107" s="597"/>
      <c r="BQ107" s="597"/>
      <c r="BR107" s="597"/>
      <c r="BS107" s="597"/>
      <c r="BT107" s="597"/>
      <c r="BU107" s="597"/>
      <c r="BV107" s="597"/>
      <c r="BW107" s="597"/>
      <c r="BX107" s="597"/>
      <c r="BY107" s="597"/>
      <c r="BZ107" s="597"/>
      <c r="CA107" s="597"/>
      <c r="CB107" s="597"/>
      <c r="CC107" s="597"/>
      <c r="CD107" s="597"/>
      <c r="CE107" s="597"/>
      <c r="CF107" s="597"/>
      <c r="CG107" s="597"/>
      <c r="CH107" s="597"/>
      <c r="CI107" s="597"/>
      <c r="CJ107" s="601">
        <v>0</v>
      </c>
      <c r="CK107" s="601"/>
      <c r="CL107" s="601"/>
      <c r="CM107" s="601"/>
      <c r="CN107" s="601"/>
      <c r="CO107" s="601"/>
      <c r="CP107" s="601"/>
      <c r="CQ107" s="601"/>
      <c r="CR107" s="601"/>
      <c r="CS107" s="601"/>
      <c r="CT107" s="601"/>
      <c r="CU107" s="601"/>
      <c r="CV107" s="601"/>
      <c r="CW107" s="601"/>
      <c r="CX107" s="601"/>
      <c r="CY107" s="601"/>
      <c r="CZ107" s="601"/>
      <c r="DA107" s="601"/>
    </row>
    <row r="108" spans="1:109" s="317" customFormat="1" ht="25.5" customHeight="1" x14ac:dyDescent="0.25">
      <c r="A108" s="595" t="s">
        <v>660</v>
      </c>
      <c r="B108" s="595"/>
      <c r="C108" s="595"/>
      <c r="D108" s="595"/>
      <c r="E108" s="595"/>
      <c r="F108" s="595"/>
      <c r="G108" s="595"/>
      <c r="H108" s="596" t="s">
        <v>661</v>
      </c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596"/>
      <c r="AC108" s="596"/>
      <c r="AD108" s="596"/>
      <c r="AE108" s="596"/>
      <c r="AF108" s="596"/>
      <c r="AG108" s="596"/>
      <c r="AH108" s="596"/>
      <c r="AI108" s="596"/>
      <c r="AJ108" s="596"/>
      <c r="AK108" s="596"/>
      <c r="AL108" s="596"/>
      <c r="AM108" s="596"/>
      <c r="AN108" s="596"/>
      <c r="AO108" s="596"/>
      <c r="AP108" s="596"/>
      <c r="AQ108" s="596"/>
      <c r="AR108" s="596"/>
      <c r="AS108" s="596"/>
      <c r="AT108" s="596"/>
      <c r="AU108" s="596"/>
      <c r="AV108" s="596"/>
      <c r="AW108" s="596"/>
      <c r="AX108" s="596"/>
      <c r="AY108" s="596"/>
      <c r="AZ108" s="596"/>
      <c r="BA108" s="596"/>
      <c r="BB108" s="596"/>
      <c r="BC108" s="596"/>
      <c r="BD108" s="597"/>
      <c r="BE108" s="597"/>
      <c r="BF108" s="597"/>
      <c r="BG108" s="597"/>
      <c r="BH108" s="597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597"/>
      <c r="BS108" s="597"/>
      <c r="BT108" s="597"/>
      <c r="BU108" s="597"/>
      <c r="BV108" s="597"/>
      <c r="BW108" s="597"/>
      <c r="BX108" s="597"/>
      <c r="BY108" s="597"/>
      <c r="BZ108" s="597"/>
      <c r="CA108" s="597"/>
      <c r="CB108" s="597"/>
      <c r="CC108" s="597"/>
      <c r="CD108" s="597"/>
      <c r="CE108" s="597"/>
      <c r="CF108" s="597"/>
      <c r="CG108" s="597"/>
      <c r="CH108" s="597"/>
      <c r="CI108" s="597"/>
      <c r="CJ108" s="601">
        <v>6600</v>
      </c>
      <c r="CK108" s="601"/>
      <c r="CL108" s="601"/>
      <c r="CM108" s="601"/>
      <c r="CN108" s="601"/>
      <c r="CO108" s="601"/>
      <c r="CP108" s="601"/>
      <c r="CQ108" s="601"/>
      <c r="CR108" s="601"/>
      <c r="CS108" s="601"/>
      <c r="CT108" s="601"/>
      <c r="CU108" s="601"/>
      <c r="CV108" s="601"/>
      <c r="CW108" s="601"/>
      <c r="CX108" s="601"/>
      <c r="CY108" s="601"/>
      <c r="CZ108" s="601"/>
      <c r="DA108" s="601"/>
    </row>
    <row r="109" spans="1:109" s="317" customFormat="1" ht="15" customHeight="1" x14ac:dyDescent="0.25">
      <c r="A109" s="595" t="s">
        <v>662</v>
      </c>
      <c r="B109" s="595"/>
      <c r="C109" s="595"/>
      <c r="D109" s="595"/>
      <c r="E109" s="595"/>
      <c r="F109" s="595"/>
      <c r="G109" s="595"/>
      <c r="H109" s="596" t="s">
        <v>663</v>
      </c>
      <c r="I109" s="596"/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6"/>
      <c r="X109" s="596"/>
      <c r="Y109" s="596"/>
      <c r="Z109" s="596"/>
      <c r="AA109" s="596"/>
      <c r="AB109" s="596"/>
      <c r="AC109" s="596"/>
      <c r="AD109" s="596"/>
      <c r="AE109" s="596"/>
      <c r="AF109" s="596"/>
      <c r="AG109" s="596"/>
      <c r="AH109" s="596"/>
      <c r="AI109" s="596"/>
      <c r="AJ109" s="596"/>
      <c r="AK109" s="596"/>
      <c r="AL109" s="596"/>
      <c r="AM109" s="596"/>
      <c r="AN109" s="596"/>
      <c r="AO109" s="596"/>
      <c r="AP109" s="596"/>
      <c r="AQ109" s="596"/>
      <c r="AR109" s="596"/>
      <c r="AS109" s="596"/>
      <c r="AT109" s="596"/>
      <c r="AU109" s="596"/>
      <c r="AV109" s="596"/>
      <c r="AW109" s="596"/>
      <c r="AX109" s="596"/>
      <c r="AY109" s="596"/>
      <c r="AZ109" s="596"/>
      <c r="BA109" s="596"/>
      <c r="BB109" s="596"/>
      <c r="BC109" s="596"/>
      <c r="BD109" s="597"/>
      <c r="BE109" s="597"/>
      <c r="BF109" s="597"/>
      <c r="BG109" s="597"/>
      <c r="BH109" s="597"/>
      <c r="BI109" s="597"/>
      <c r="BJ109" s="597"/>
      <c r="BK109" s="597"/>
      <c r="BL109" s="597"/>
      <c r="BM109" s="597"/>
      <c r="BN109" s="597"/>
      <c r="BO109" s="597"/>
      <c r="BP109" s="597"/>
      <c r="BQ109" s="597"/>
      <c r="BR109" s="597"/>
      <c r="BS109" s="597"/>
      <c r="BT109" s="597"/>
      <c r="BU109" s="597"/>
      <c r="BV109" s="597"/>
      <c r="BW109" s="597"/>
      <c r="BX109" s="597"/>
      <c r="BY109" s="597"/>
      <c r="BZ109" s="597"/>
      <c r="CA109" s="597"/>
      <c r="CB109" s="597"/>
      <c r="CC109" s="597"/>
      <c r="CD109" s="597"/>
      <c r="CE109" s="597"/>
      <c r="CF109" s="597"/>
      <c r="CG109" s="597"/>
      <c r="CH109" s="597"/>
      <c r="CI109" s="597"/>
      <c r="CJ109" s="601">
        <v>56777.01</v>
      </c>
      <c r="CK109" s="601"/>
      <c r="CL109" s="601"/>
      <c r="CM109" s="601"/>
      <c r="CN109" s="601"/>
      <c r="CO109" s="601"/>
      <c r="CP109" s="601"/>
      <c r="CQ109" s="601"/>
      <c r="CR109" s="601"/>
      <c r="CS109" s="601"/>
      <c r="CT109" s="601"/>
      <c r="CU109" s="601"/>
      <c r="CV109" s="601"/>
      <c r="CW109" s="601"/>
      <c r="CX109" s="601"/>
      <c r="CY109" s="601"/>
      <c r="CZ109" s="601"/>
      <c r="DA109" s="601"/>
    </row>
    <row r="110" spans="1:109" s="317" customFormat="1" ht="15" customHeight="1" x14ac:dyDescent="0.25">
      <c r="A110" s="595" t="s">
        <v>664</v>
      </c>
      <c r="B110" s="595"/>
      <c r="C110" s="595"/>
      <c r="D110" s="595"/>
      <c r="E110" s="595"/>
      <c r="F110" s="595"/>
      <c r="G110" s="595"/>
      <c r="H110" s="596" t="s">
        <v>665</v>
      </c>
      <c r="I110" s="596"/>
      <c r="J110" s="596"/>
      <c r="K110" s="596"/>
      <c r="L110" s="596"/>
      <c r="M110" s="596"/>
      <c r="N110" s="596"/>
      <c r="O110" s="596"/>
      <c r="P110" s="596"/>
      <c r="Q110" s="596"/>
      <c r="R110" s="596"/>
      <c r="S110" s="596"/>
      <c r="T110" s="596"/>
      <c r="U110" s="596"/>
      <c r="V110" s="596"/>
      <c r="W110" s="596"/>
      <c r="X110" s="596"/>
      <c r="Y110" s="596"/>
      <c r="Z110" s="596"/>
      <c r="AA110" s="596"/>
      <c r="AB110" s="596"/>
      <c r="AC110" s="596"/>
      <c r="AD110" s="596"/>
      <c r="AE110" s="596"/>
      <c r="AF110" s="596"/>
      <c r="AG110" s="596"/>
      <c r="AH110" s="596"/>
      <c r="AI110" s="596"/>
      <c r="AJ110" s="596"/>
      <c r="AK110" s="596"/>
      <c r="AL110" s="596"/>
      <c r="AM110" s="596"/>
      <c r="AN110" s="596"/>
      <c r="AO110" s="596"/>
      <c r="AP110" s="596"/>
      <c r="AQ110" s="596"/>
      <c r="AR110" s="596"/>
      <c r="AS110" s="596"/>
      <c r="AT110" s="596"/>
      <c r="AU110" s="596"/>
      <c r="AV110" s="596"/>
      <c r="AW110" s="596"/>
      <c r="AX110" s="596"/>
      <c r="AY110" s="596"/>
      <c r="AZ110" s="596"/>
      <c r="BA110" s="596"/>
      <c r="BB110" s="596"/>
      <c r="BC110" s="596"/>
      <c r="BD110" s="597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7"/>
      <c r="BU110" s="597"/>
      <c r="BV110" s="597"/>
      <c r="BW110" s="597"/>
      <c r="BX110" s="597"/>
      <c r="BY110" s="597"/>
      <c r="BZ110" s="597"/>
      <c r="CA110" s="597"/>
      <c r="CB110" s="597"/>
      <c r="CC110" s="597"/>
      <c r="CD110" s="597"/>
      <c r="CE110" s="597"/>
      <c r="CF110" s="597"/>
      <c r="CG110" s="597"/>
      <c r="CH110" s="597"/>
      <c r="CI110" s="597"/>
      <c r="CJ110" s="601">
        <v>71774.42</v>
      </c>
      <c r="CK110" s="601"/>
      <c r="CL110" s="601"/>
      <c r="CM110" s="601"/>
      <c r="CN110" s="601"/>
      <c r="CO110" s="601"/>
      <c r="CP110" s="601"/>
      <c r="CQ110" s="601"/>
      <c r="CR110" s="601"/>
      <c r="CS110" s="601"/>
      <c r="CT110" s="601"/>
      <c r="CU110" s="601"/>
      <c r="CV110" s="601"/>
      <c r="CW110" s="601"/>
      <c r="CX110" s="601"/>
      <c r="CY110" s="601"/>
      <c r="CZ110" s="601"/>
      <c r="DA110" s="601"/>
    </row>
    <row r="111" spans="1:109" s="317" customFormat="1" ht="26.25" customHeight="1" x14ac:dyDescent="0.2">
      <c r="A111" s="595" t="s">
        <v>666</v>
      </c>
      <c r="B111" s="595"/>
      <c r="C111" s="595"/>
      <c r="D111" s="595"/>
      <c r="E111" s="595"/>
      <c r="F111" s="595"/>
      <c r="G111" s="595"/>
      <c r="H111" s="596" t="s">
        <v>667</v>
      </c>
      <c r="I111" s="596"/>
      <c r="J111" s="596"/>
      <c r="K111" s="596"/>
      <c r="L111" s="596"/>
      <c r="M111" s="596"/>
      <c r="N111" s="596"/>
      <c r="O111" s="596"/>
      <c r="P111" s="596"/>
      <c r="Q111" s="596"/>
      <c r="R111" s="596"/>
      <c r="S111" s="596"/>
      <c r="T111" s="596"/>
      <c r="U111" s="596"/>
      <c r="V111" s="596"/>
      <c r="W111" s="596"/>
      <c r="X111" s="596"/>
      <c r="Y111" s="596"/>
      <c r="Z111" s="596"/>
      <c r="AA111" s="596"/>
      <c r="AB111" s="596"/>
      <c r="AC111" s="596"/>
      <c r="AD111" s="596"/>
      <c r="AE111" s="596"/>
      <c r="AF111" s="596"/>
      <c r="AG111" s="596"/>
      <c r="AH111" s="596"/>
      <c r="AI111" s="596"/>
      <c r="AJ111" s="596"/>
      <c r="AK111" s="596"/>
      <c r="AL111" s="596"/>
      <c r="AM111" s="596"/>
      <c r="AN111" s="596"/>
      <c r="AO111" s="596"/>
      <c r="AP111" s="596"/>
      <c r="AQ111" s="596"/>
      <c r="AR111" s="596"/>
      <c r="AS111" s="596"/>
      <c r="AT111" s="596"/>
      <c r="AU111" s="596"/>
      <c r="AV111" s="596"/>
      <c r="AW111" s="596"/>
      <c r="AX111" s="596"/>
      <c r="AY111" s="596"/>
      <c r="AZ111" s="596"/>
      <c r="BA111" s="596"/>
      <c r="BB111" s="596"/>
      <c r="BC111" s="596"/>
      <c r="BD111" s="597"/>
      <c r="BE111" s="597"/>
      <c r="BF111" s="597"/>
      <c r="BG111" s="597"/>
      <c r="BH111" s="597"/>
      <c r="BI111" s="597"/>
      <c r="BJ111" s="597"/>
      <c r="BK111" s="597"/>
      <c r="BL111" s="597"/>
      <c r="BM111" s="597"/>
      <c r="BN111" s="597"/>
      <c r="BO111" s="597"/>
      <c r="BP111" s="597"/>
      <c r="BQ111" s="597"/>
      <c r="BR111" s="597"/>
      <c r="BS111" s="597"/>
      <c r="BT111" s="597"/>
      <c r="BU111" s="597"/>
      <c r="BV111" s="597"/>
      <c r="BW111" s="597"/>
      <c r="BX111" s="597"/>
      <c r="BY111" s="597"/>
      <c r="BZ111" s="597"/>
      <c r="CA111" s="597"/>
      <c r="CB111" s="597"/>
      <c r="CC111" s="597"/>
      <c r="CD111" s="597"/>
      <c r="CE111" s="597"/>
      <c r="CF111" s="597"/>
      <c r="CG111" s="597"/>
      <c r="CH111" s="597"/>
      <c r="CI111" s="597"/>
      <c r="CJ111" s="601">
        <v>1005671.19</v>
      </c>
      <c r="CK111" s="601"/>
      <c r="CL111" s="601"/>
      <c r="CM111" s="601"/>
      <c r="CN111" s="601"/>
      <c r="CO111" s="601"/>
      <c r="CP111" s="601"/>
      <c r="CQ111" s="601"/>
      <c r="CR111" s="601"/>
      <c r="CS111" s="601"/>
      <c r="CT111" s="601"/>
      <c r="CU111" s="601"/>
      <c r="CV111" s="601"/>
      <c r="CW111" s="601"/>
      <c r="CX111" s="601"/>
      <c r="CY111" s="601"/>
      <c r="CZ111" s="601"/>
      <c r="DA111" s="601"/>
      <c r="DE111" s="326"/>
    </row>
    <row r="112" spans="1:109" s="317" customFormat="1" ht="12.75" x14ac:dyDescent="0.2">
      <c r="A112" s="595" t="s">
        <v>668</v>
      </c>
      <c r="B112" s="595"/>
      <c r="C112" s="595"/>
      <c r="D112" s="595"/>
      <c r="E112" s="595"/>
      <c r="F112" s="595"/>
      <c r="G112" s="595"/>
      <c r="H112" s="596" t="s">
        <v>669</v>
      </c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6"/>
      <c r="Y112" s="596"/>
      <c r="Z112" s="596"/>
      <c r="AA112" s="596"/>
      <c r="AB112" s="596"/>
      <c r="AC112" s="596"/>
      <c r="AD112" s="596"/>
      <c r="AE112" s="596"/>
      <c r="AF112" s="596"/>
      <c r="AG112" s="596"/>
      <c r="AH112" s="596"/>
      <c r="AI112" s="596"/>
      <c r="AJ112" s="596"/>
      <c r="AK112" s="596"/>
      <c r="AL112" s="596"/>
      <c r="AM112" s="596"/>
      <c r="AN112" s="596"/>
      <c r="AO112" s="596"/>
      <c r="AP112" s="596"/>
      <c r="AQ112" s="596"/>
      <c r="AR112" s="596"/>
      <c r="AS112" s="596"/>
      <c r="AT112" s="596"/>
      <c r="AU112" s="596"/>
      <c r="AV112" s="596"/>
      <c r="AW112" s="596"/>
      <c r="AX112" s="596"/>
      <c r="AY112" s="596"/>
      <c r="AZ112" s="596"/>
      <c r="BA112" s="596"/>
      <c r="BB112" s="596"/>
      <c r="BC112" s="596"/>
      <c r="BD112" s="597"/>
      <c r="BE112" s="597"/>
      <c r="BF112" s="597"/>
      <c r="BG112" s="597"/>
      <c r="BH112" s="597"/>
      <c r="BI112" s="597"/>
      <c r="BJ112" s="597"/>
      <c r="BK112" s="597"/>
      <c r="BL112" s="597"/>
      <c r="BM112" s="597"/>
      <c r="BN112" s="597"/>
      <c r="BO112" s="597"/>
      <c r="BP112" s="597"/>
      <c r="BQ112" s="597"/>
      <c r="BR112" s="597"/>
      <c r="BS112" s="597"/>
      <c r="BT112" s="597"/>
      <c r="BU112" s="597"/>
      <c r="BV112" s="597"/>
      <c r="BW112" s="597"/>
      <c r="BX112" s="597"/>
      <c r="BY112" s="597"/>
      <c r="BZ112" s="597"/>
      <c r="CA112" s="597"/>
      <c r="CB112" s="597"/>
      <c r="CC112" s="597"/>
      <c r="CD112" s="597"/>
      <c r="CE112" s="597"/>
      <c r="CF112" s="597"/>
      <c r="CG112" s="597"/>
      <c r="CH112" s="597"/>
      <c r="CI112" s="597"/>
      <c r="CJ112" s="601">
        <v>119373.47</v>
      </c>
      <c r="CK112" s="601"/>
      <c r="CL112" s="601"/>
      <c r="CM112" s="601"/>
      <c r="CN112" s="601"/>
      <c r="CO112" s="601"/>
      <c r="CP112" s="601"/>
      <c r="CQ112" s="601"/>
      <c r="CR112" s="601"/>
      <c r="CS112" s="601"/>
      <c r="CT112" s="601"/>
      <c r="CU112" s="601"/>
      <c r="CV112" s="601"/>
      <c r="CW112" s="601"/>
      <c r="CX112" s="601"/>
      <c r="CY112" s="601"/>
      <c r="CZ112" s="601"/>
      <c r="DA112" s="601"/>
      <c r="DE112" s="202"/>
    </row>
    <row r="113" spans="1:110" s="317" customFormat="1" ht="15" customHeight="1" x14ac:dyDescent="0.2">
      <c r="A113" s="595"/>
      <c r="B113" s="595"/>
      <c r="C113" s="595"/>
      <c r="D113" s="595"/>
      <c r="E113" s="595"/>
      <c r="F113" s="595"/>
      <c r="G113" s="595"/>
      <c r="H113" s="606" t="s">
        <v>610</v>
      </c>
      <c r="I113" s="606"/>
      <c r="J113" s="606"/>
      <c r="K113" s="606"/>
      <c r="L113" s="606"/>
      <c r="M113" s="606"/>
      <c r="N113" s="606"/>
      <c r="O113" s="606"/>
      <c r="P113" s="606"/>
      <c r="Q113" s="606"/>
      <c r="R113" s="606"/>
      <c r="S113" s="606"/>
      <c r="T113" s="606"/>
      <c r="U113" s="606"/>
      <c r="V113" s="606"/>
      <c r="W113" s="606"/>
      <c r="X113" s="606"/>
      <c r="Y113" s="606"/>
      <c r="Z113" s="606"/>
      <c r="AA113" s="606"/>
      <c r="AB113" s="606"/>
      <c r="AC113" s="606"/>
      <c r="AD113" s="606"/>
      <c r="AE113" s="606"/>
      <c r="AF113" s="606"/>
      <c r="AG113" s="606"/>
      <c r="AH113" s="606"/>
      <c r="AI113" s="606"/>
      <c r="AJ113" s="606"/>
      <c r="AK113" s="606"/>
      <c r="AL113" s="606"/>
      <c r="AM113" s="606"/>
      <c r="AN113" s="606"/>
      <c r="AO113" s="606"/>
      <c r="AP113" s="606"/>
      <c r="AQ113" s="606"/>
      <c r="AR113" s="606"/>
      <c r="AS113" s="606"/>
      <c r="AT113" s="606"/>
      <c r="AU113" s="606"/>
      <c r="AV113" s="606"/>
      <c r="AW113" s="606"/>
      <c r="AX113" s="606"/>
      <c r="AY113" s="606"/>
      <c r="AZ113" s="606"/>
      <c r="BA113" s="606"/>
      <c r="BB113" s="606"/>
      <c r="BC113" s="607"/>
      <c r="BD113" s="597"/>
      <c r="BE113" s="597"/>
      <c r="BF113" s="597"/>
      <c r="BG113" s="597"/>
      <c r="BH113" s="597"/>
      <c r="BI113" s="597"/>
      <c r="BJ113" s="597"/>
      <c r="BK113" s="597"/>
      <c r="BL113" s="597"/>
      <c r="BM113" s="597"/>
      <c r="BN113" s="597"/>
      <c r="BO113" s="597"/>
      <c r="BP113" s="597"/>
      <c r="BQ113" s="597"/>
      <c r="BR113" s="597"/>
      <c r="BS113" s="597"/>
      <c r="BT113" s="597" t="s">
        <v>487</v>
      </c>
      <c r="BU113" s="597"/>
      <c r="BV113" s="597"/>
      <c r="BW113" s="597"/>
      <c r="BX113" s="597"/>
      <c r="BY113" s="597"/>
      <c r="BZ113" s="597"/>
      <c r="CA113" s="597"/>
      <c r="CB113" s="597"/>
      <c r="CC113" s="597"/>
      <c r="CD113" s="597"/>
      <c r="CE113" s="597"/>
      <c r="CF113" s="597"/>
      <c r="CG113" s="597"/>
      <c r="CH113" s="597"/>
      <c r="CI113" s="597"/>
      <c r="CJ113" s="608">
        <f>SUM(CJ105:DA112)</f>
        <v>3556024.84</v>
      </c>
      <c r="CK113" s="608"/>
      <c r="CL113" s="608"/>
      <c r="CM113" s="608"/>
      <c r="CN113" s="608"/>
      <c r="CO113" s="608"/>
      <c r="CP113" s="608"/>
      <c r="CQ113" s="608"/>
      <c r="CR113" s="608"/>
      <c r="CS113" s="608"/>
      <c r="CT113" s="608"/>
      <c r="CU113" s="608"/>
      <c r="CV113" s="608"/>
      <c r="CW113" s="608"/>
      <c r="CX113" s="608"/>
      <c r="CY113" s="608"/>
      <c r="CZ113" s="608"/>
      <c r="DA113" s="608"/>
      <c r="DE113" s="327">
        <f>CJ113+CJ98+CJ87+CL61+CE48+CM37+BW25+CJ11+CJ68+500000</f>
        <v>112846305.07000001</v>
      </c>
      <c r="DF113" s="324"/>
    </row>
    <row r="115" spans="1:110" ht="12" customHeight="1" x14ac:dyDescent="0.25">
      <c r="DE115" s="327"/>
    </row>
    <row r="116" spans="1:110" ht="12" customHeight="1" x14ac:dyDescent="0.25">
      <c r="DE116" s="328">
        <f>'Раздел 3 (новый) '!G102+'Раздел 3 (новый) '!G175</f>
        <v>114274454.21000001</v>
      </c>
    </row>
    <row r="117" spans="1:110" ht="12" customHeight="1" x14ac:dyDescent="0.25">
      <c r="DE117" s="328"/>
    </row>
    <row r="118" spans="1:110" ht="12" customHeight="1" x14ac:dyDescent="0.25">
      <c r="DE118" s="329"/>
    </row>
    <row r="119" spans="1:110" ht="12" customHeight="1" x14ac:dyDescent="0.25">
      <c r="DE119" s="327">
        <f>DE113-DE116</f>
        <v>-1428149.1400000006</v>
      </c>
    </row>
    <row r="121" spans="1:110" ht="12" customHeight="1" x14ac:dyDescent="0.25">
      <c r="DE121" s="327"/>
    </row>
  </sheetData>
  <mergeCells count="368">
    <mergeCell ref="A112:G112"/>
    <mergeCell ref="H112:BC112"/>
    <mergeCell ref="BD112:BS112"/>
    <mergeCell ref="BT112:CI112"/>
    <mergeCell ref="CJ112:DA112"/>
    <mergeCell ref="A113:G113"/>
    <mergeCell ref="H113:BC113"/>
    <mergeCell ref="BD113:BS113"/>
    <mergeCell ref="BT113:CI113"/>
    <mergeCell ref="CJ113:DA113"/>
    <mergeCell ref="A110:G110"/>
    <mergeCell ref="H110:BC110"/>
    <mergeCell ref="BD110:BS110"/>
    <mergeCell ref="BT110:CI110"/>
    <mergeCell ref="CJ110:DA110"/>
    <mergeCell ref="A111:G111"/>
    <mergeCell ref="H111:BC111"/>
    <mergeCell ref="BD111:BS111"/>
    <mergeCell ref="BT111:CI111"/>
    <mergeCell ref="CJ111:DA111"/>
    <mergeCell ref="A108:G108"/>
    <mergeCell ref="H108:BC108"/>
    <mergeCell ref="BD108:BS108"/>
    <mergeCell ref="BT108:CI108"/>
    <mergeCell ref="CJ108:DA108"/>
    <mergeCell ref="A109:G109"/>
    <mergeCell ref="H109:BC109"/>
    <mergeCell ref="BD109:BS109"/>
    <mergeCell ref="BT109:CI109"/>
    <mergeCell ref="CJ109:DA109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98:G98"/>
    <mergeCell ref="H98:BS98"/>
    <mergeCell ref="BT98:CI98"/>
    <mergeCell ref="CJ98:DA98"/>
    <mergeCell ref="A101:DA101"/>
    <mergeCell ref="A103:G103"/>
    <mergeCell ref="H103:BC103"/>
    <mergeCell ref="BD103:BS103"/>
    <mergeCell ref="BT103:CI103"/>
    <mergeCell ref="CJ103:DA103"/>
    <mergeCell ref="A95:G95"/>
    <mergeCell ref="H95:BS95"/>
    <mergeCell ref="BT95:CI95"/>
    <mergeCell ref="CJ95:DA95"/>
    <mergeCell ref="A97:G97"/>
    <mergeCell ref="H97:BS97"/>
    <mergeCell ref="BT97:CI97"/>
    <mergeCell ref="CJ97:DA97"/>
    <mergeCell ref="A93:G93"/>
    <mergeCell ref="H93:BS93"/>
    <mergeCell ref="BT93:CI93"/>
    <mergeCell ref="CJ93:DA93"/>
    <mergeCell ref="A94:G94"/>
    <mergeCell ref="H94:BS94"/>
    <mergeCell ref="BT94:CI94"/>
    <mergeCell ref="CJ94:DA94"/>
    <mergeCell ref="A96:G96"/>
    <mergeCell ref="H96:BS96"/>
    <mergeCell ref="BT96:CI96"/>
    <mergeCell ref="CJ96:DA96"/>
    <mergeCell ref="A91:G91"/>
    <mergeCell ref="H91:BS91"/>
    <mergeCell ref="BT91:CI91"/>
    <mergeCell ref="CJ91:DA91"/>
    <mergeCell ref="A92:G92"/>
    <mergeCell ref="H92:BS92"/>
    <mergeCell ref="BT92:CI92"/>
    <mergeCell ref="CJ92:DA92"/>
    <mergeCell ref="A87:G87"/>
    <mergeCell ref="H87:BC87"/>
    <mergeCell ref="BD87:BS87"/>
    <mergeCell ref="BT87:CI87"/>
    <mergeCell ref="CJ87:DA87"/>
    <mergeCell ref="A89:DA89"/>
    <mergeCell ref="A85:G85"/>
    <mergeCell ref="H85:BC85"/>
    <mergeCell ref="BD85:BS85"/>
    <mergeCell ref="BT85:CI85"/>
    <mergeCell ref="CJ85:DA85"/>
    <mergeCell ref="A86:G86"/>
    <mergeCell ref="H86:BC86"/>
    <mergeCell ref="BD86:BS86"/>
    <mergeCell ref="BT86:CI86"/>
    <mergeCell ref="CJ86:DA86"/>
    <mergeCell ref="A83:G83"/>
    <mergeCell ref="H83:BC83"/>
    <mergeCell ref="BD83:BS83"/>
    <mergeCell ref="BT83:CI83"/>
    <mergeCell ref="CJ83:DA83"/>
    <mergeCell ref="A84:G84"/>
    <mergeCell ref="H84:BC84"/>
    <mergeCell ref="BD84:BS84"/>
    <mergeCell ref="BT84:CI84"/>
    <mergeCell ref="CJ84:DA84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  <mergeCell ref="A78:DA78"/>
    <mergeCell ref="A80:G80"/>
    <mergeCell ref="H80:BC80"/>
    <mergeCell ref="BD80:BS80"/>
    <mergeCell ref="BT80:CI80"/>
    <mergeCell ref="CJ80:DA80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68:G68"/>
    <mergeCell ref="H68:BC68"/>
    <mergeCell ref="BD68:BS68"/>
    <mergeCell ref="BT68:CI68"/>
    <mergeCell ref="CJ68:DA68"/>
    <mergeCell ref="A71:DA71"/>
    <mergeCell ref="A66:G66"/>
    <mergeCell ref="H66:BC66"/>
    <mergeCell ref="BD66:BS66"/>
    <mergeCell ref="BT66:CI66"/>
    <mergeCell ref="CJ66:DA66"/>
    <mergeCell ref="A67:G67"/>
    <mergeCell ref="H67:BC67"/>
    <mergeCell ref="BD67:BS67"/>
    <mergeCell ref="BT67:CI67"/>
    <mergeCell ref="CJ67:DA67"/>
    <mergeCell ref="A63:DA63"/>
    <mergeCell ref="A65:G65"/>
    <mergeCell ref="H65:BC65"/>
    <mergeCell ref="BD65:BS65"/>
    <mergeCell ref="BT65:CI65"/>
    <mergeCell ref="CJ65:DA65"/>
    <mergeCell ref="A61:G61"/>
    <mergeCell ref="H61:AO61"/>
    <mergeCell ref="AP61:BE61"/>
    <mergeCell ref="BF61:BU61"/>
    <mergeCell ref="BV61:CK61"/>
    <mergeCell ref="CL61:DA61"/>
    <mergeCell ref="A60:G60"/>
    <mergeCell ref="H60:AO60"/>
    <mergeCell ref="AP60:BE60"/>
    <mergeCell ref="BF60:BU60"/>
    <mergeCell ref="BV60:CK60"/>
    <mergeCell ref="CL60:DA60"/>
    <mergeCell ref="A59:G59"/>
    <mergeCell ref="H59:AO59"/>
    <mergeCell ref="AP59:BE59"/>
    <mergeCell ref="BF59:BU59"/>
    <mergeCell ref="BV59:CK59"/>
    <mergeCell ref="CL59:DA59"/>
    <mergeCell ref="A58:G58"/>
    <mergeCell ref="H58:AO58"/>
    <mergeCell ref="AP58:BE58"/>
    <mergeCell ref="BF58:BU58"/>
    <mergeCell ref="BV58:CK58"/>
    <mergeCell ref="CL58:DA58"/>
    <mergeCell ref="A55:DA55"/>
    <mergeCell ref="A57:G57"/>
    <mergeCell ref="H57:AO57"/>
    <mergeCell ref="AP57:BE57"/>
    <mergeCell ref="BF57:BU57"/>
    <mergeCell ref="BV57:CK57"/>
    <mergeCell ref="CL57:DA57"/>
    <mergeCell ref="A48:G48"/>
    <mergeCell ref="H48:BC48"/>
    <mergeCell ref="BD48:BS48"/>
    <mergeCell ref="BT48:CD48"/>
    <mergeCell ref="CE48:DA48"/>
    <mergeCell ref="A52:DA52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4:G44"/>
    <mergeCell ref="H44:BC44"/>
    <mergeCell ref="BD44:BS44"/>
    <mergeCell ref="BT44:CD44"/>
    <mergeCell ref="CE44:DA44"/>
    <mergeCell ref="A45:G45"/>
    <mergeCell ref="H45:BC45"/>
    <mergeCell ref="BD45:BS45"/>
    <mergeCell ref="BT45:CD45"/>
    <mergeCell ref="CE45:DA45"/>
    <mergeCell ref="A40:DA40"/>
    <mergeCell ref="A43:G43"/>
    <mergeCell ref="H43:BC43"/>
    <mergeCell ref="BD43:BS43"/>
    <mergeCell ref="BT43:CD43"/>
    <mergeCell ref="CE43:DA43"/>
    <mergeCell ref="A36:F36"/>
    <mergeCell ref="H36:BV36"/>
    <mergeCell ref="BW36:CL36"/>
    <mergeCell ref="CM36:DA36"/>
    <mergeCell ref="A37:F37"/>
    <mergeCell ref="G37:BV37"/>
    <mergeCell ref="BW37:CL37"/>
    <mergeCell ref="CM37:DA37"/>
    <mergeCell ref="A34:F34"/>
    <mergeCell ref="H34:BV34"/>
    <mergeCell ref="BW34:CL34"/>
    <mergeCell ref="CM34:DA34"/>
    <mergeCell ref="A35:F35"/>
    <mergeCell ref="H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29:F29"/>
    <mergeCell ref="H29:BV29"/>
    <mergeCell ref="BW29:CL29"/>
    <mergeCell ref="CM29:DA29"/>
    <mergeCell ref="A30:F31"/>
    <mergeCell ref="H30:BV30"/>
    <mergeCell ref="BW30:CL31"/>
    <mergeCell ref="CM30:DA31"/>
    <mergeCell ref="H31:BV31"/>
    <mergeCell ref="A27:F27"/>
    <mergeCell ref="H27:BV27"/>
    <mergeCell ref="BW27:CL27"/>
    <mergeCell ref="CM27:DA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6"/>
    <mergeCell ref="H25:BV25"/>
    <mergeCell ref="BW25:CL26"/>
    <mergeCell ref="CM25:DA26"/>
    <mergeCell ref="H26:BV26"/>
    <mergeCell ref="A20:DA20"/>
    <mergeCell ref="A22:F22"/>
    <mergeCell ref="G22:BV22"/>
    <mergeCell ref="BW22:CL22"/>
    <mergeCell ref="CM22:DA22"/>
    <mergeCell ref="A23:F23"/>
    <mergeCell ref="G23:BV23"/>
    <mergeCell ref="BW23:CL23"/>
    <mergeCell ref="CM23:DA23"/>
    <mergeCell ref="A18:F18"/>
    <mergeCell ref="G18:AD18"/>
    <mergeCell ref="AE18:AY18"/>
    <mergeCell ref="AZ18:BQ18"/>
    <mergeCell ref="BR18:CI18"/>
    <mergeCell ref="CJ18:DA18"/>
    <mergeCell ref="A17:F17"/>
    <mergeCell ref="G17:AD17"/>
    <mergeCell ref="AE17:AY17"/>
    <mergeCell ref="AZ17:BQ17"/>
    <mergeCell ref="BR17:CI17"/>
    <mergeCell ref="CJ17:DA17"/>
    <mergeCell ref="A16:F16"/>
    <mergeCell ref="G16:AD16"/>
    <mergeCell ref="AE16:AY16"/>
    <mergeCell ref="AZ16:BQ16"/>
    <mergeCell ref="BR16:CI16"/>
    <mergeCell ref="CJ16:DA16"/>
    <mergeCell ref="A13:DA13"/>
    <mergeCell ref="A15:F15"/>
    <mergeCell ref="G15:AD15"/>
    <mergeCell ref="AE15:AY15"/>
    <mergeCell ref="AZ15:BQ15"/>
    <mergeCell ref="BR15:CI15"/>
    <mergeCell ref="CJ15:DA15"/>
    <mergeCell ref="A11:F11"/>
    <mergeCell ref="G11:AD11"/>
    <mergeCell ref="AE11:BC11"/>
    <mergeCell ref="BD11:BS11"/>
    <mergeCell ref="BT11:CI11"/>
    <mergeCell ref="CJ11:DA11"/>
    <mergeCell ref="A9:F9"/>
    <mergeCell ref="G9:AD9"/>
    <mergeCell ref="AE9:BC9"/>
    <mergeCell ref="BD9:BS9"/>
    <mergeCell ref="BT9:CI9"/>
    <mergeCell ref="CJ9:DA9"/>
    <mergeCell ref="A10:F10"/>
    <mergeCell ref="G10:AD10"/>
    <mergeCell ref="AE10:BC10"/>
    <mergeCell ref="BD10:BS10"/>
    <mergeCell ref="BT10:CI10"/>
    <mergeCell ref="CJ10:DA10"/>
    <mergeCell ref="A8:F8"/>
    <mergeCell ref="G8:AD8"/>
    <mergeCell ref="AE8:BC8"/>
    <mergeCell ref="BD8:BS8"/>
    <mergeCell ref="BT8:CI8"/>
    <mergeCell ref="CJ8:DA8"/>
    <mergeCell ref="A7:F7"/>
    <mergeCell ref="G7:AD7"/>
    <mergeCell ref="AE7:BC7"/>
    <mergeCell ref="BD7:BS7"/>
    <mergeCell ref="BT7:CI7"/>
    <mergeCell ref="CJ7:DA7"/>
    <mergeCell ref="A2:DA2"/>
    <mergeCell ref="A4:F4"/>
    <mergeCell ref="G4:AD4"/>
    <mergeCell ref="AE4:BC4"/>
    <mergeCell ref="BD4:BS4"/>
    <mergeCell ref="BT4:CI4"/>
    <mergeCell ref="CJ4:DA4"/>
    <mergeCell ref="A6:F6"/>
    <mergeCell ref="G6:AD6"/>
    <mergeCell ref="AE6:BC6"/>
    <mergeCell ref="BD6:BS6"/>
    <mergeCell ref="BT6:CI6"/>
    <mergeCell ref="CJ6:DA6"/>
    <mergeCell ref="A5:F5"/>
    <mergeCell ref="G5:AD5"/>
    <mergeCell ref="AE5:BC5"/>
    <mergeCell ref="BD5:BS5"/>
    <mergeCell ref="BT5:CI5"/>
    <mergeCell ref="CJ5:DA5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2:AM124"/>
  <sheetViews>
    <sheetView view="pageBreakPreview" zoomScaleNormal="100" zoomScaleSheetLayoutView="100" workbookViewId="0">
      <selection activeCell="CL134" sqref="CL134:DA134"/>
    </sheetView>
  </sheetViews>
  <sheetFormatPr defaultRowHeight="15" x14ac:dyDescent="0.25"/>
  <cols>
    <col min="1" max="1" width="26.140625" style="404" customWidth="1"/>
    <col min="2" max="2" width="11.42578125" style="404" customWidth="1"/>
    <col min="3" max="3" width="14.5703125" style="404" customWidth="1"/>
    <col min="4" max="4" width="17" style="404" customWidth="1"/>
    <col min="5" max="5" width="7.42578125" style="404" customWidth="1"/>
    <col min="6" max="6" width="12.7109375" style="404" customWidth="1"/>
    <col min="7" max="7" width="5.85546875" style="404" customWidth="1"/>
    <col min="8" max="8" width="12.42578125" style="404" customWidth="1"/>
    <col min="9" max="9" width="6" style="404" customWidth="1"/>
    <col min="10" max="11" width="10.28515625" style="404" customWidth="1"/>
    <col min="12" max="12" width="13.5703125" style="404" customWidth="1"/>
    <col min="13" max="15" width="10.28515625" style="404" customWidth="1"/>
    <col min="16" max="16" width="12.5703125" style="404" customWidth="1"/>
    <col min="17" max="20" width="10.28515625" style="404" customWidth="1"/>
    <col min="21" max="21" width="12.28515625" style="404" customWidth="1"/>
    <col min="22" max="22" width="14.28515625" style="404" customWidth="1"/>
    <col min="23" max="23" width="7.28515625" style="404" customWidth="1"/>
    <col min="24" max="24" width="14.5703125" style="404" customWidth="1"/>
    <col min="25" max="25" width="7.28515625" style="404" bestFit="1" customWidth="1"/>
    <col min="26" max="26" width="15.140625" style="404" customWidth="1"/>
    <col min="27" max="27" width="13.5703125" style="404" customWidth="1"/>
    <col min="28" max="28" width="14.85546875" style="404" customWidth="1"/>
    <col min="29" max="29" width="18.5703125" style="404" customWidth="1"/>
    <col min="30" max="30" width="17.42578125" style="404" customWidth="1"/>
    <col min="31" max="31" width="15.85546875" style="404" customWidth="1"/>
    <col min="32" max="256" width="9.140625" style="404"/>
    <col min="257" max="257" width="26.140625" style="404" customWidth="1"/>
    <col min="258" max="258" width="11.42578125" style="404" customWidth="1"/>
    <col min="259" max="259" width="14.5703125" style="404" customWidth="1"/>
    <col min="260" max="260" width="17" style="404" customWidth="1"/>
    <col min="261" max="261" width="7.42578125" style="404" customWidth="1"/>
    <col min="262" max="262" width="12.7109375" style="404" customWidth="1"/>
    <col min="263" max="263" width="5.85546875" style="404" customWidth="1"/>
    <col min="264" max="264" width="12.42578125" style="404" customWidth="1"/>
    <col min="265" max="265" width="6" style="404" customWidth="1"/>
    <col min="266" max="267" width="10.28515625" style="404" customWidth="1"/>
    <col min="268" max="268" width="13.5703125" style="404" customWidth="1"/>
    <col min="269" max="271" width="10.28515625" style="404" customWidth="1"/>
    <col min="272" max="272" width="12.5703125" style="404" customWidth="1"/>
    <col min="273" max="276" width="10.28515625" style="404" customWidth="1"/>
    <col min="277" max="277" width="12.28515625" style="404" customWidth="1"/>
    <col min="278" max="278" width="14.28515625" style="404" customWidth="1"/>
    <col min="279" max="279" width="7.28515625" style="404" customWidth="1"/>
    <col min="280" max="280" width="14.5703125" style="404" customWidth="1"/>
    <col min="281" max="281" width="5.42578125" style="404" customWidth="1"/>
    <col min="282" max="282" width="15.140625" style="404" customWidth="1"/>
    <col min="283" max="283" width="13.5703125" style="404" customWidth="1"/>
    <col min="284" max="284" width="14.85546875" style="404" customWidth="1"/>
    <col min="285" max="285" width="18.5703125" style="404" customWidth="1"/>
    <col min="286" max="286" width="17.42578125" style="404" customWidth="1"/>
    <col min="287" max="287" width="15.85546875" style="404" customWidth="1"/>
    <col min="288" max="512" width="9.140625" style="404"/>
    <col min="513" max="513" width="26.140625" style="404" customWidth="1"/>
    <col min="514" max="514" width="11.42578125" style="404" customWidth="1"/>
    <col min="515" max="515" width="14.5703125" style="404" customWidth="1"/>
    <col min="516" max="516" width="17" style="404" customWidth="1"/>
    <col min="517" max="517" width="7.42578125" style="404" customWidth="1"/>
    <col min="518" max="518" width="12.7109375" style="404" customWidth="1"/>
    <col min="519" max="519" width="5.85546875" style="404" customWidth="1"/>
    <col min="520" max="520" width="12.42578125" style="404" customWidth="1"/>
    <col min="521" max="521" width="6" style="404" customWidth="1"/>
    <col min="522" max="523" width="10.28515625" style="404" customWidth="1"/>
    <col min="524" max="524" width="13.5703125" style="404" customWidth="1"/>
    <col min="525" max="527" width="10.28515625" style="404" customWidth="1"/>
    <col min="528" max="528" width="12.5703125" style="404" customWidth="1"/>
    <col min="529" max="532" width="10.28515625" style="404" customWidth="1"/>
    <col min="533" max="533" width="12.28515625" style="404" customWidth="1"/>
    <col min="534" max="534" width="14.28515625" style="404" customWidth="1"/>
    <col min="535" max="535" width="7.28515625" style="404" customWidth="1"/>
    <col min="536" max="536" width="14.5703125" style="404" customWidth="1"/>
    <col min="537" max="537" width="5.42578125" style="404" customWidth="1"/>
    <col min="538" max="538" width="15.140625" style="404" customWidth="1"/>
    <col min="539" max="539" width="13.5703125" style="404" customWidth="1"/>
    <col min="540" max="540" width="14.85546875" style="404" customWidth="1"/>
    <col min="541" max="541" width="18.5703125" style="404" customWidth="1"/>
    <col min="542" max="542" width="17.42578125" style="404" customWidth="1"/>
    <col min="543" max="543" width="15.85546875" style="404" customWidth="1"/>
    <col min="544" max="768" width="9.140625" style="404"/>
    <col min="769" max="769" width="26.140625" style="404" customWidth="1"/>
    <col min="770" max="770" width="11.42578125" style="404" customWidth="1"/>
    <col min="771" max="771" width="14.5703125" style="404" customWidth="1"/>
    <col min="772" max="772" width="17" style="404" customWidth="1"/>
    <col min="773" max="773" width="7.42578125" style="404" customWidth="1"/>
    <col min="774" max="774" width="12.7109375" style="404" customWidth="1"/>
    <col min="775" max="775" width="5.85546875" style="404" customWidth="1"/>
    <col min="776" max="776" width="12.42578125" style="404" customWidth="1"/>
    <col min="777" max="777" width="6" style="404" customWidth="1"/>
    <col min="778" max="779" width="10.28515625" style="404" customWidth="1"/>
    <col min="780" max="780" width="13.5703125" style="404" customWidth="1"/>
    <col min="781" max="783" width="10.28515625" style="404" customWidth="1"/>
    <col min="784" max="784" width="12.5703125" style="404" customWidth="1"/>
    <col min="785" max="788" width="10.28515625" style="404" customWidth="1"/>
    <col min="789" max="789" width="12.28515625" style="404" customWidth="1"/>
    <col min="790" max="790" width="14.28515625" style="404" customWidth="1"/>
    <col min="791" max="791" width="7.28515625" style="404" customWidth="1"/>
    <col min="792" max="792" width="14.5703125" style="404" customWidth="1"/>
    <col min="793" max="793" width="5.42578125" style="404" customWidth="1"/>
    <col min="794" max="794" width="15.140625" style="404" customWidth="1"/>
    <col min="795" max="795" width="13.5703125" style="404" customWidth="1"/>
    <col min="796" max="796" width="14.85546875" style="404" customWidth="1"/>
    <col min="797" max="797" width="18.5703125" style="404" customWidth="1"/>
    <col min="798" max="798" width="17.42578125" style="404" customWidth="1"/>
    <col min="799" max="799" width="15.85546875" style="404" customWidth="1"/>
    <col min="800" max="1024" width="9.140625" style="404"/>
    <col min="1025" max="1025" width="26.140625" style="404" customWidth="1"/>
    <col min="1026" max="1026" width="11.42578125" style="404" customWidth="1"/>
    <col min="1027" max="1027" width="14.5703125" style="404" customWidth="1"/>
    <col min="1028" max="1028" width="17" style="404" customWidth="1"/>
    <col min="1029" max="1029" width="7.42578125" style="404" customWidth="1"/>
    <col min="1030" max="1030" width="12.7109375" style="404" customWidth="1"/>
    <col min="1031" max="1031" width="5.85546875" style="404" customWidth="1"/>
    <col min="1032" max="1032" width="12.42578125" style="404" customWidth="1"/>
    <col min="1033" max="1033" width="6" style="404" customWidth="1"/>
    <col min="1034" max="1035" width="10.28515625" style="404" customWidth="1"/>
    <col min="1036" max="1036" width="13.5703125" style="404" customWidth="1"/>
    <col min="1037" max="1039" width="10.28515625" style="404" customWidth="1"/>
    <col min="1040" max="1040" width="12.5703125" style="404" customWidth="1"/>
    <col min="1041" max="1044" width="10.28515625" style="404" customWidth="1"/>
    <col min="1045" max="1045" width="12.28515625" style="404" customWidth="1"/>
    <col min="1046" max="1046" width="14.28515625" style="404" customWidth="1"/>
    <col min="1047" max="1047" width="7.28515625" style="404" customWidth="1"/>
    <col min="1048" max="1048" width="14.5703125" style="404" customWidth="1"/>
    <col min="1049" max="1049" width="5.42578125" style="404" customWidth="1"/>
    <col min="1050" max="1050" width="15.140625" style="404" customWidth="1"/>
    <col min="1051" max="1051" width="13.5703125" style="404" customWidth="1"/>
    <col min="1052" max="1052" width="14.85546875" style="404" customWidth="1"/>
    <col min="1053" max="1053" width="18.5703125" style="404" customWidth="1"/>
    <col min="1054" max="1054" width="17.42578125" style="404" customWidth="1"/>
    <col min="1055" max="1055" width="15.85546875" style="404" customWidth="1"/>
    <col min="1056" max="1280" width="9.140625" style="404"/>
    <col min="1281" max="1281" width="26.140625" style="404" customWidth="1"/>
    <col min="1282" max="1282" width="11.42578125" style="404" customWidth="1"/>
    <col min="1283" max="1283" width="14.5703125" style="404" customWidth="1"/>
    <col min="1284" max="1284" width="17" style="404" customWidth="1"/>
    <col min="1285" max="1285" width="7.42578125" style="404" customWidth="1"/>
    <col min="1286" max="1286" width="12.7109375" style="404" customWidth="1"/>
    <col min="1287" max="1287" width="5.85546875" style="404" customWidth="1"/>
    <col min="1288" max="1288" width="12.42578125" style="404" customWidth="1"/>
    <col min="1289" max="1289" width="6" style="404" customWidth="1"/>
    <col min="1290" max="1291" width="10.28515625" style="404" customWidth="1"/>
    <col min="1292" max="1292" width="13.5703125" style="404" customWidth="1"/>
    <col min="1293" max="1295" width="10.28515625" style="404" customWidth="1"/>
    <col min="1296" max="1296" width="12.5703125" style="404" customWidth="1"/>
    <col min="1297" max="1300" width="10.28515625" style="404" customWidth="1"/>
    <col min="1301" max="1301" width="12.28515625" style="404" customWidth="1"/>
    <col min="1302" max="1302" width="14.28515625" style="404" customWidth="1"/>
    <col min="1303" max="1303" width="7.28515625" style="404" customWidth="1"/>
    <col min="1304" max="1304" width="14.5703125" style="404" customWidth="1"/>
    <col min="1305" max="1305" width="5.42578125" style="404" customWidth="1"/>
    <col min="1306" max="1306" width="15.140625" style="404" customWidth="1"/>
    <col min="1307" max="1307" width="13.5703125" style="404" customWidth="1"/>
    <col min="1308" max="1308" width="14.85546875" style="404" customWidth="1"/>
    <col min="1309" max="1309" width="18.5703125" style="404" customWidth="1"/>
    <col min="1310" max="1310" width="17.42578125" style="404" customWidth="1"/>
    <col min="1311" max="1311" width="15.85546875" style="404" customWidth="1"/>
    <col min="1312" max="1536" width="9.140625" style="404"/>
    <col min="1537" max="1537" width="26.140625" style="404" customWidth="1"/>
    <col min="1538" max="1538" width="11.42578125" style="404" customWidth="1"/>
    <col min="1539" max="1539" width="14.5703125" style="404" customWidth="1"/>
    <col min="1540" max="1540" width="17" style="404" customWidth="1"/>
    <col min="1541" max="1541" width="7.42578125" style="404" customWidth="1"/>
    <col min="1542" max="1542" width="12.7109375" style="404" customWidth="1"/>
    <col min="1543" max="1543" width="5.85546875" style="404" customWidth="1"/>
    <col min="1544" max="1544" width="12.42578125" style="404" customWidth="1"/>
    <col min="1545" max="1545" width="6" style="404" customWidth="1"/>
    <col min="1546" max="1547" width="10.28515625" style="404" customWidth="1"/>
    <col min="1548" max="1548" width="13.5703125" style="404" customWidth="1"/>
    <col min="1549" max="1551" width="10.28515625" style="404" customWidth="1"/>
    <col min="1552" max="1552" width="12.5703125" style="404" customWidth="1"/>
    <col min="1553" max="1556" width="10.28515625" style="404" customWidth="1"/>
    <col min="1557" max="1557" width="12.28515625" style="404" customWidth="1"/>
    <col min="1558" max="1558" width="14.28515625" style="404" customWidth="1"/>
    <col min="1559" max="1559" width="7.28515625" style="404" customWidth="1"/>
    <col min="1560" max="1560" width="14.5703125" style="404" customWidth="1"/>
    <col min="1561" max="1561" width="5.42578125" style="404" customWidth="1"/>
    <col min="1562" max="1562" width="15.140625" style="404" customWidth="1"/>
    <col min="1563" max="1563" width="13.5703125" style="404" customWidth="1"/>
    <col min="1564" max="1564" width="14.85546875" style="404" customWidth="1"/>
    <col min="1565" max="1565" width="18.5703125" style="404" customWidth="1"/>
    <col min="1566" max="1566" width="17.42578125" style="404" customWidth="1"/>
    <col min="1567" max="1567" width="15.85546875" style="404" customWidth="1"/>
    <col min="1568" max="1792" width="9.140625" style="404"/>
    <col min="1793" max="1793" width="26.140625" style="404" customWidth="1"/>
    <col min="1794" max="1794" width="11.42578125" style="404" customWidth="1"/>
    <col min="1795" max="1795" width="14.5703125" style="404" customWidth="1"/>
    <col min="1796" max="1796" width="17" style="404" customWidth="1"/>
    <col min="1797" max="1797" width="7.42578125" style="404" customWidth="1"/>
    <col min="1798" max="1798" width="12.7109375" style="404" customWidth="1"/>
    <col min="1799" max="1799" width="5.85546875" style="404" customWidth="1"/>
    <col min="1800" max="1800" width="12.42578125" style="404" customWidth="1"/>
    <col min="1801" max="1801" width="6" style="404" customWidth="1"/>
    <col min="1802" max="1803" width="10.28515625" style="404" customWidth="1"/>
    <col min="1804" max="1804" width="13.5703125" style="404" customWidth="1"/>
    <col min="1805" max="1807" width="10.28515625" style="404" customWidth="1"/>
    <col min="1808" max="1808" width="12.5703125" style="404" customWidth="1"/>
    <col min="1809" max="1812" width="10.28515625" style="404" customWidth="1"/>
    <col min="1813" max="1813" width="12.28515625" style="404" customWidth="1"/>
    <col min="1814" max="1814" width="14.28515625" style="404" customWidth="1"/>
    <col min="1815" max="1815" width="7.28515625" style="404" customWidth="1"/>
    <col min="1816" max="1816" width="14.5703125" style="404" customWidth="1"/>
    <col min="1817" max="1817" width="5.42578125" style="404" customWidth="1"/>
    <col min="1818" max="1818" width="15.140625" style="404" customWidth="1"/>
    <col min="1819" max="1819" width="13.5703125" style="404" customWidth="1"/>
    <col min="1820" max="1820" width="14.85546875" style="404" customWidth="1"/>
    <col min="1821" max="1821" width="18.5703125" style="404" customWidth="1"/>
    <col min="1822" max="1822" width="17.42578125" style="404" customWidth="1"/>
    <col min="1823" max="1823" width="15.85546875" style="404" customWidth="1"/>
    <col min="1824" max="2048" width="9.140625" style="404"/>
    <col min="2049" max="2049" width="26.140625" style="404" customWidth="1"/>
    <col min="2050" max="2050" width="11.42578125" style="404" customWidth="1"/>
    <col min="2051" max="2051" width="14.5703125" style="404" customWidth="1"/>
    <col min="2052" max="2052" width="17" style="404" customWidth="1"/>
    <col min="2053" max="2053" width="7.42578125" style="404" customWidth="1"/>
    <col min="2054" max="2054" width="12.7109375" style="404" customWidth="1"/>
    <col min="2055" max="2055" width="5.85546875" style="404" customWidth="1"/>
    <col min="2056" max="2056" width="12.42578125" style="404" customWidth="1"/>
    <col min="2057" max="2057" width="6" style="404" customWidth="1"/>
    <col min="2058" max="2059" width="10.28515625" style="404" customWidth="1"/>
    <col min="2060" max="2060" width="13.5703125" style="404" customWidth="1"/>
    <col min="2061" max="2063" width="10.28515625" style="404" customWidth="1"/>
    <col min="2064" max="2064" width="12.5703125" style="404" customWidth="1"/>
    <col min="2065" max="2068" width="10.28515625" style="404" customWidth="1"/>
    <col min="2069" max="2069" width="12.28515625" style="404" customWidth="1"/>
    <col min="2070" max="2070" width="14.28515625" style="404" customWidth="1"/>
    <col min="2071" max="2071" width="7.28515625" style="404" customWidth="1"/>
    <col min="2072" max="2072" width="14.5703125" style="404" customWidth="1"/>
    <col min="2073" max="2073" width="5.42578125" style="404" customWidth="1"/>
    <col min="2074" max="2074" width="15.140625" style="404" customWidth="1"/>
    <col min="2075" max="2075" width="13.5703125" style="404" customWidth="1"/>
    <col min="2076" max="2076" width="14.85546875" style="404" customWidth="1"/>
    <col min="2077" max="2077" width="18.5703125" style="404" customWidth="1"/>
    <col min="2078" max="2078" width="17.42578125" style="404" customWidth="1"/>
    <col min="2079" max="2079" width="15.85546875" style="404" customWidth="1"/>
    <col min="2080" max="2304" width="9.140625" style="404"/>
    <col min="2305" max="2305" width="26.140625" style="404" customWidth="1"/>
    <col min="2306" max="2306" width="11.42578125" style="404" customWidth="1"/>
    <col min="2307" max="2307" width="14.5703125" style="404" customWidth="1"/>
    <col min="2308" max="2308" width="17" style="404" customWidth="1"/>
    <col min="2309" max="2309" width="7.42578125" style="404" customWidth="1"/>
    <col min="2310" max="2310" width="12.7109375" style="404" customWidth="1"/>
    <col min="2311" max="2311" width="5.85546875" style="404" customWidth="1"/>
    <col min="2312" max="2312" width="12.42578125" style="404" customWidth="1"/>
    <col min="2313" max="2313" width="6" style="404" customWidth="1"/>
    <col min="2314" max="2315" width="10.28515625" style="404" customWidth="1"/>
    <col min="2316" max="2316" width="13.5703125" style="404" customWidth="1"/>
    <col min="2317" max="2319" width="10.28515625" style="404" customWidth="1"/>
    <col min="2320" max="2320" width="12.5703125" style="404" customWidth="1"/>
    <col min="2321" max="2324" width="10.28515625" style="404" customWidth="1"/>
    <col min="2325" max="2325" width="12.28515625" style="404" customWidth="1"/>
    <col min="2326" max="2326" width="14.28515625" style="404" customWidth="1"/>
    <col min="2327" max="2327" width="7.28515625" style="404" customWidth="1"/>
    <col min="2328" max="2328" width="14.5703125" style="404" customWidth="1"/>
    <col min="2329" max="2329" width="5.42578125" style="404" customWidth="1"/>
    <col min="2330" max="2330" width="15.140625" style="404" customWidth="1"/>
    <col min="2331" max="2331" width="13.5703125" style="404" customWidth="1"/>
    <col min="2332" max="2332" width="14.85546875" style="404" customWidth="1"/>
    <col min="2333" max="2333" width="18.5703125" style="404" customWidth="1"/>
    <col min="2334" max="2334" width="17.42578125" style="404" customWidth="1"/>
    <col min="2335" max="2335" width="15.85546875" style="404" customWidth="1"/>
    <col min="2336" max="2560" width="9.140625" style="404"/>
    <col min="2561" max="2561" width="26.140625" style="404" customWidth="1"/>
    <col min="2562" max="2562" width="11.42578125" style="404" customWidth="1"/>
    <col min="2563" max="2563" width="14.5703125" style="404" customWidth="1"/>
    <col min="2564" max="2564" width="17" style="404" customWidth="1"/>
    <col min="2565" max="2565" width="7.42578125" style="404" customWidth="1"/>
    <col min="2566" max="2566" width="12.7109375" style="404" customWidth="1"/>
    <col min="2567" max="2567" width="5.85546875" style="404" customWidth="1"/>
    <col min="2568" max="2568" width="12.42578125" style="404" customWidth="1"/>
    <col min="2569" max="2569" width="6" style="404" customWidth="1"/>
    <col min="2570" max="2571" width="10.28515625" style="404" customWidth="1"/>
    <col min="2572" max="2572" width="13.5703125" style="404" customWidth="1"/>
    <col min="2573" max="2575" width="10.28515625" style="404" customWidth="1"/>
    <col min="2576" max="2576" width="12.5703125" style="404" customWidth="1"/>
    <col min="2577" max="2580" width="10.28515625" style="404" customWidth="1"/>
    <col min="2581" max="2581" width="12.28515625" style="404" customWidth="1"/>
    <col min="2582" max="2582" width="14.28515625" style="404" customWidth="1"/>
    <col min="2583" max="2583" width="7.28515625" style="404" customWidth="1"/>
    <col min="2584" max="2584" width="14.5703125" style="404" customWidth="1"/>
    <col min="2585" max="2585" width="5.42578125" style="404" customWidth="1"/>
    <col min="2586" max="2586" width="15.140625" style="404" customWidth="1"/>
    <col min="2587" max="2587" width="13.5703125" style="404" customWidth="1"/>
    <col min="2588" max="2588" width="14.85546875" style="404" customWidth="1"/>
    <col min="2589" max="2589" width="18.5703125" style="404" customWidth="1"/>
    <col min="2590" max="2590" width="17.42578125" style="404" customWidth="1"/>
    <col min="2591" max="2591" width="15.85546875" style="404" customWidth="1"/>
    <col min="2592" max="2816" width="9.140625" style="404"/>
    <col min="2817" max="2817" width="26.140625" style="404" customWidth="1"/>
    <col min="2818" max="2818" width="11.42578125" style="404" customWidth="1"/>
    <col min="2819" max="2819" width="14.5703125" style="404" customWidth="1"/>
    <col min="2820" max="2820" width="17" style="404" customWidth="1"/>
    <col min="2821" max="2821" width="7.42578125" style="404" customWidth="1"/>
    <col min="2822" max="2822" width="12.7109375" style="404" customWidth="1"/>
    <col min="2823" max="2823" width="5.85546875" style="404" customWidth="1"/>
    <col min="2824" max="2824" width="12.42578125" style="404" customWidth="1"/>
    <col min="2825" max="2825" width="6" style="404" customWidth="1"/>
    <col min="2826" max="2827" width="10.28515625" style="404" customWidth="1"/>
    <col min="2828" max="2828" width="13.5703125" style="404" customWidth="1"/>
    <col min="2829" max="2831" width="10.28515625" style="404" customWidth="1"/>
    <col min="2832" max="2832" width="12.5703125" style="404" customWidth="1"/>
    <col min="2833" max="2836" width="10.28515625" style="404" customWidth="1"/>
    <col min="2837" max="2837" width="12.28515625" style="404" customWidth="1"/>
    <col min="2838" max="2838" width="14.28515625" style="404" customWidth="1"/>
    <col min="2839" max="2839" width="7.28515625" style="404" customWidth="1"/>
    <col min="2840" max="2840" width="14.5703125" style="404" customWidth="1"/>
    <col min="2841" max="2841" width="5.42578125" style="404" customWidth="1"/>
    <col min="2842" max="2842" width="15.140625" style="404" customWidth="1"/>
    <col min="2843" max="2843" width="13.5703125" style="404" customWidth="1"/>
    <col min="2844" max="2844" width="14.85546875" style="404" customWidth="1"/>
    <col min="2845" max="2845" width="18.5703125" style="404" customWidth="1"/>
    <col min="2846" max="2846" width="17.42578125" style="404" customWidth="1"/>
    <col min="2847" max="2847" width="15.85546875" style="404" customWidth="1"/>
    <col min="2848" max="3072" width="9.140625" style="404"/>
    <col min="3073" max="3073" width="26.140625" style="404" customWidth="1"/>
    <col min="3074" max="3074" width="11.42578125" style="404" customWidth="1"/>
    <col min="3075" max="3075" width="14.5703125" style="404" customWidth="1"/>
    <col min="3076" max="3076" width="17" style="404" customWidth="1"/>
    <col min="3077" max="3077" width="7.42578125" style="404" customWidth="1"/>
    <col min="3078" max="3078" width="12.7109375" style="404" customWidth="1"/>
    <col min="3079" max="3079" width="5.85546875" style="404" customWidth="1"/>
    <col min="3080" max="3080" width="12.42578125" style="404" customWidth="1"/>
    <col min="3081" max="3081" width="6" style="404" customWidth="1"/>
    <col min="3082" max="3083" width="10.28515625" style="404" customWidth="1"/>
    <col min="3084" max="3084" width="13.5703125" style="404" customWidth="1"/>
    <col min="3085" max="3087" width="10.28515625" style="404" customWidth="1"/>
    <col min="3088" max="3088" width="12.5703125" style="404" customWidth="1"/>
    <col min="3089" max="3092" width="10.28515625" style="404" customWidth="1"/>
    <col min="3093" max="3093" width="12.28515625" style="404" customWidth="1"/>
    <col min="3094" max="3094" width="14.28515625" style="404" customWidth="1"/>
    <col min="3095" max="3095" width="7.28515625" style="404" customWidth="1"/>
    <col min="3096" max="3096" width="14.5703125" style="404" customWidth="1"/>
    <col min="3097" max="3097" width="5.42578125" style="404" customWidth="1"/>
    <col min="3098" max="3098" width="15.140625" style="404" customWidth="1"/>
    <col min="3099" max="3099" width="13.5703125" style="404" customWidth="1"/>
    <col min="3100" max="3100" width="14.85546875" style="404" customWidth="1"/>
    <col min="3101" max="3101" width="18.5703125" style="404" customWidth="1"/>
    <col min="3102" max="3102" width="17.42578125" style="404" customWidth="1"/>
    <col min="3103" max="3103" width="15.85546875" style="404" customWidth="1"/>
    <col min="3104" max="3328" width="9.140625" style="404"/>
    <col min="3329" max="3329" width="26.140625" style="404" customWidth="1"/>
    <col min="3330" max="3330" width="11.42578125" style="404" customWidth="1"/>
    <col min="3331" max="3331" width="14.5703125" style="404" customWidth="1"/>
    <col min="3332" max="3332" width="17" style="404" customWidth="1"/>
    <col min="3333" max="3333" width="7.42578125" style="404" customWidth="1"/>
    <col min="3334" max="3334" width="12.7109375" style="404" customWidth="1"/>
    <col min="3335" max="3335" width="5.85546875" style="404" customWidth="1"/>
    <col min="3336" max="3336" width="12.42578125" style="404" customWidth="1"/>
    <col min="3337" max="3337" width="6" style="404" customWidth="1"/>
    <col min="3338" max="3339" width="10.28515625" style="404" customWidth="1"/>
    <col min="3340" max="3340" width="13.5703125" style="404" customWidth="1"/>
    <col min="3341" max="3343" width="10.28515625" style="404" customWidth="1"/>
    <col min="3344" max="3344" width="12.5703125" style="404" customWidth="1"/>
    <col min="3345" max="3348" width="10.28515625" style="404" customWidth="1"/>
    <col min="3349" max="3349" width="12.28515625" style="404" customWidth="1"/>
    <col min="3350" max="3350" width="14.28515625" style="404" customWidth="1"/>
    <col min="3351" max="3351" width="7.28515625" style="404" customWidth="1"/>
    <col min="3352" max="3352" width="14.5703125" style="404" customWidth="1"/>
    <col min="3353" max="3353" width="5.42578125" style="404" customWidth="1"/>
    <col min="3354" max="3354" width="15.140625" style="404" customWidth="1"/>
    <col min="3355" max="3355" width="13.5703125" style="404" customWidth="1"/>
    <col min="3356" max="3356" width="14.85546875" style="404" customWidth="1"/>
    <col min="3357" max="3357" width="18.5703125" style="404" customWidth="1"/>
    <col min="3358" max="3358" width="17.42578125" style="404" customWidth="1"/>
    <col min="3359" max="3359" width="15.85546875" style="404" customWidth="1"/>
    <col min="3360" max="3584" width="9.140625" style="404"/>
    <col min="3585" max="3585" width="26.140625" style="404" customWidth="1"/>
    <col min="3586" max="3586" width="11.42578125" style="404" customWidth="1"/>
    <col min="3587" max="3587" width="14.5703125" style="404" customWidth="1"/>
    <col min="3588" max="3588" width="17" style="404" customWidth="1"/>
    <col min="3589" max="3589" width="7.42578125" style="404" customWidth="1"/>
    <col min="3590" max="3590" width="12.7109375" style="404" customWidth="1"/>
    <col min="3591" max="3591" width="5.85546875" style="404" customWidth="1"/>
    <col min="3592" max="3592" width="12.42578125" style="404" customWidth="1"/>
    <col min="3593" max="3593" width="6" style="404" customWidth="1"/>
    <col min="3594" max="3595" width="10.28515625" style="404" customWidth="1"/>
    <col min="3596" max="3596" width="13.5703125" style="404" customWidth="1"/>
    <col min="3597" max="3599" width="10.28515625" style="404" customWidth="1"/>
    <col min="3600" max="3600" width="12.5703125" style="404" customWidth="1"/>
    <col min="3601" max="3604" width="10.28515625" style="404" customWidth="1"/>
    <col min="3605" max="3605" width="12.28515625" style="404" customWidth="1"/>
    <col min="3606" max="3606" width="14.28515625" style="404" customWidth="1"/>
    <col min="3607" max="3607" width="7.28515625" style="404" customWidth="1"/>
    <col min="3608" max="3608" width="14.5703125" style="404" customWidth="1"/>
    <col min="3609" max="3609" width="5.42578125" style="404" customWidth="1"/>
    <col min="3610" max="3610" width="15.140625" style="404" customWidth="1"/>
    <col min="3611" max="3611" width="13.5703125" style="404" customWidth="1"/>
    <col min="3612" max="3612" width="14.85546875" style="404" customWidth="1"/>
    <col min="3613" max="3613" width="18.5703125" style="404" customWidth="1"/>
    <col min="3614" max="3614" width="17.42578125" style="404" customWidth="1"/>
    <col min="3615" max="3615" width="15.85546875" style="404" customWidth="1"/>
    <col min="3616" max="3840" width="9.140625" style="404"/>
    <col min="3841" max="3841" width="26.140625" style="404" customWidth="1"/>
    <col min="3842" max="3842" width="11.42578125" style="404" customWidth="1"/>
    <col min="3843" max="3843" width="14.5703125" style="404" customWidth="1"/>
    <col min="3844" max="3844" width="17" style="404" customWidth="1"/>
    <col min="3845" max="3845" width="7.42578125" style="404" customWidth="1"/>
    <col min="3846" max="3846" width="12.7109375" style="404" customWidth="1"/>
    <col min="3847" max="3847" width="5.85546875" style="404" customWidth="1"/>
    <col min="3848" max="3848" width="12.42578125" style="404" customWidth="1"/>
    <col min="3849" max="3849" width="6" style="404" customWidth="1"/>
    <col min="3850" max="3851" width="10.28515625" style="404" customWidth="1"/>
    <col min="3852" max="3852" width="13.5703125" style="404" customWidth="1"/>
    <col min="3853" max="3855" width="10.28515625" style="404" customWidth="1"/>
    <col min="3856" max="3856" width="12.5703125" style="404" customWidth="1"/>
    <col min="3857" max="3860" width="10.28515625" style="404" customWidth="1"/>
    <col min="3861" max="3861" width="12.28515625" style="404" customWidth="1"/>
    <col min="3862" max="3862" width="14.28515625" style="404" customWidth="1"/>
    <col min="3863" max="3863" width="7.28515625" style="404" customWidth="1"/>
    <col min="3864" max="3864" width="14.5703125" style="404" customWidth="1"/>
    <col min="3865" max="3865" width="5.42578125" style="404" customWidth="1"/>
    <col min="3866" max="3866" width="15.140625" style="404" customWidth="1"/>
    <col min="3867" max="3867" width="13.5703125" style="404" customWidth="1"/>
    <col min="3868" max="3868" width="14.85546875" style="404" customWidth="1"/>
    <col min="3869" max="3869" width="18.5703125" style="404" customWidth="1"/>
    <col min="3870" max="3870" width="17.42578125" style="404" customWidth="1"/>
    <col min="3871" max="3871" width="15.85546875" style="404" customWidth="1"/>
    <col min="3872" max="4096" width="9.140625" style="404"/>
    <col min="4097" max="4097" width="26.140625" style="404" customWidth="1"/>
    <col min="4098" max="4098" width="11.42578125" style="404" customWidth="1"/>
    <col min="4099" max="4099" width="14.5703125" style="404" customWidth="1"/>
    <col min="4100" max="4100" width="17" style="404" customWidth="1"/>
    <col min="4101" max="4101" width="7.42578125" style="404" customWidth="1"/>
    <col min="4102" max="4102" width="12.7109375" style="404" customWidth="1"/>
    <col min="4103" max="4103" width="5.85546875" style="404" customWidth="1"/>
    <col min="4104" max="4104" width="12.42578125" style="404" customWidth="1"/>
    <col min="4105" max="4105" width="6" style="404" customWidth="1"/>
    <col min="4106" max="4107" width="10.28515625" style="404" customWidth="1"/>
    <col min="4108" max="4108" width="13.5703125" style="404" customWidth="1"/>
    <col min="4109" max="4111" width="10.28515625" style="404" customWidth="1"/>
    <col min="4112" max="4112" width="12.5703125" style="404" customWidth="1"/>
    <col min="4113" max="4116" width="10.28515625" style="404" customWidth="1"/>
    <col min="4117" max="4117" width="12.28515625" style="404" customWidth="1"/>
    <col min="4118" max="4118" width="14.28515625" style="404" customWidth="1"/>
    <col min="4119" max="4119" width="7.28515625" style="404" customWidth="1"/>
    <col min="4120" max="4120" width="14.5703125" style="404" customWidth="1"/>
    <col min="4121" max="4121" width="5.42578125" style="404" customWidth="1"/>
    <col min="4122" max="4122" width="15.140625" style="404" customWidth="1"/>
    <col min="4123" max="4123" width="13.5703125" style="404" customWidth="1"/>
    <col min="4124" max="4124" width="14.85546875" style="404" customWidth="1"/>
    <col min="4125" max="4125" width="18.5703125" style="404" customWidth="1"/>
    <col min="4126" max="4126" width="17.42578125" style="404" customWidth="1"/>
    <col min="4127" max="4127" width="15.85546875" style="404" customWidth="1"/>
    <col min="4128" max="4352" width="9.140625" style="404"/>
    <col min="4353" max="4353" width="26.140625" style="404" customWidth="1"/>
    <col min="4354" max="4354" width="11.42578125" style="404" customWidth="1"/>
    <col min="4355" max="4355" width="14.5703125" style="404" customWidth="1"/>
    <col min="4356" max="4356" width="17" style="404" customWidth="1"/>
    <col min="4357" max="4357" width="7.42578125" style="404" customWidth="1"/>
    <col min="4358" max="4358" width="12.7109375" style="404" customWidth="1"/>
    <col min="4359" max="4359" width="5.85546875" style="404" customWidth="1"/>
    <col min="4360" max="4360" width="12.42578125" style="404" customWidth="1"/>
    <col min="4361" max="4361" width="6" style="404" customWidth="1"/>
    <col min="4362" max="4363" width="10.28515625" style="404" customWidth="1"/>
    <col min="4364" max="4364" width="13.5703125" style="404" customWidth="1"/>
    <col min="4365" max="4367" width="10.28515625" style="404" customWidth="1"/>
    <col min="4368" max="4368" width="12.5703125" style="404" customWidth="1"/>
    <col min="4369" max="4372" width="10.28515625" style="404" customWidth="1"/>
    <col min="4373" max="4373" width="12.28515625" style="404" customWidth="1"/>
    <col min="4374" max="4374" width="14.28515625" style="404" customWidth="1"/>
    <col min="4375" max="4375" width="7.28515625" style="404" customWidth="1"/>
    <col min="4376" max="4376" width="14.5703125" style="404" customWidth="1"/>
    <col min="4377" max="4377" width="5.42578125" style="404" customWidth="1"/>
    <col min="4378" max="4378" width="15.140625" style="404" customWidth="1"/>
    <col min="4379" max="4379" width="13.5703125" style="404" customWidth="1"/>
    <col min="4380" max="4380" width="14.85546875" style="404" customWidth="1"/>
    <col min="4381" max="4381" width="18.5703125" style="404" customWidth="1"/>
    <col min="4382" max="4382" width="17.42578125" style="404" customWidth="1"/>
    <col min="4383" max="4383" width="15.85546875" style="404" customWidth="1"/>
    <col min="4384" max="4608" width="9.140625" style="404"/>
    <col min="4609" max="4609" width="26.140625" style="404" customWidth="1"/>
    <col min="4610" max="4610" width="11.42578125" style="404" customWidth="1"/>
    <col min="4611" max="4611" width="14.5703125" style="404" customWidth="1"/>
    <col min="4612" max="4612" width="17" style="404" customWidth="1"/>
    <col min="4613" max="4613" width="7.42578125" style="404" customWidth="1"/>
    <col min="4614" max="4614" width="12.7109375" style="404" customWidth="1"/>
    <col min="4615" max="4615" width="5.85546875" style="404" customWidth="1"/>
    <col min="4616" max="4616" width="12.42578125" style="404" customWidth="1"/>
    <col min="4617" max="4617" width="6" style="404" customWidth="1"/>
    <col min="4618" max="4619" width="10.28515625" style="404" customWidth="1"/>
    <col min="4620" max="4620" width="13.5703125" style="404" customWidth="1"/>
    <col min="4621" max="4623" width="10.28515625" style="404" customWidth="1"/>
    <col min="4624" max="4624" width="12.5703125" style="404" customWidth="1"/>
    <col min="4625" max="4628" width="10.28515625" style="404" customWidth="1"/>
    <col min="4629" max="4629" width="12.28515625" style="404" customWidth="1"/>
    <col min="4630" max="4630" width="14.28515625" style="404" customWidth="1"/>
    <col min="4631" max="4631" width="7.28515625" style="404" customWidth="1"/>
    <col min="4632" max="4632" width="14.5703125" style="404" customWidth="1"/>
    <col min="4633" max="4633" width="5.42578125" style="404" customWidth="1"/>
    <col min="4634" max="4634" width="15.140625" style="404" customWidth="1"/>
    <col min="4635" max="4635" width="13.5703125" style="404" customWidth="1"/>
    <col min="4636" max="4636" width="14.85546875" style="404" customWidth="1"/>
    <col min="4637" max="4637" width="18.5703125" style="404" customWidth="1"/>
    <col min="4638" max="4638" width="17.42578125" style="404" customWidth="1"/>
    <col min="4639" max="4639" width="15.85546875" style="404" customWidth="1"/>
    <col min="4640" max="4864" width="9.140625" style="404"/>
    <col min="4865" max="4865" width="26.140625" style="404" customWidth="1"/>
    <col min="4866" max="4866" width="11.42578125" style="404" customWidth="1"/>
    <col min="4867" max="4867" width="14.5703125" style="404" customWidth="1"/>
    <col min="4868" max="4868" width="17" style="404" customWidth="1"/>
    <col min="4869" max="4869" width="7.42578125" style="404" customWidth="1"/>
    <col min="4870" max="4870" width="12.7109375" style="404" customWidth="1"/>
    <col min="4871" max="4871" width="5.85546875" style="404" customWidth="1"/>
    <col min="4872" max="4872" width="12.42578125" style="404" customWidth="1"/>
    <col min="4873" max="4873" width="6" style="404" customWidth="1"/>
    <col min="4874" max="4875" width="10.28515625" style="404" customWidth="1"/>
    <col min="4876" max="4876" width="13.5703125" style="404" customWidth="1"/>
    <col min="4877" max="4879" width="10.28515625" style="404" customWidth="1"/>
    <col min="4880" max="4880" width="12.5703125" style="404" customWidth="1"/>
    <col min="4881" max="4884" width="10.28515625" style="404" customWidth="1"/>
    <col min="4885" max="4885" width="12.28515625" style="404" customWidth="1"/>
    <col min="4886" max="4886" width="14.28515625" style="404" customWidth="1"/>
    <col min="4887" max="4887" width="7.28515625" style="404" customWidth="1"/>
    <col min="4888" max="4888" width="14.5703125" style="404" customWidth="1"/>
    <col min="4889" max="4889" width="5.42578125" style="404" customWidth="1"/>
    <col min="4890" max="4890" width="15.140625" style="404" customWidth="1"/>
    <col min="4891" max="4891" width="13.5703125" style="404" customWidth="1"/>
    <col min="4892" max="4892" width="14.85546875" style="404" customWidth="1"/>
    <col min="4893" max="4893" width="18.5703125" style="404" customWidth="1"/>
    <col min="4894" max="4894" width="17.42578125" style="404" customWidth="1"/>
    <col min="4895" max="4895" width="15.85546875" style="404" customWidth="1"/>
    <col min="4896" max="5120" width="9.140625" style="404"/>
    <col min="5121" max="5121" width="26.140625" style="404" customWidth="1"/>
    <col min="5122" max="5122" width="11.42578125" style="404" customWidth="1"/>
    <col min="5123" max="5123" width="14.5703125" style="404" customWidth="1"/>
    <col min="5124" max="5124" width="17" style="404" customWidth="1"/>
    <col min="5125" max="5125" width="7.42578125" style="404" customWidth="1"/>
    <col min="5126" max="5126" width="12.7109375" style="404" customWidth="1"/>
    <col min="5127" max="5127" width="5.85546875" style="404" customWidth="1"/>
    <col min="5128" max="5128" width="12.42578125" style="404" customWidth="1"/>
    <col min="5129" max="5129" width="6" style="404" customWidth="1"/>
    <col min="5130" max="5131" width="10.28515625" style="404" customWidth="1"/>
    <col min="5132" max="5132" width="13.5703125" style="404" customWidth="1"/>
    <col min="5133" max="5135" width="10.28515625" style="404" customWidth="1"/>
    <col min="5136" max="5136" width="12.5703125" style="404" customWidth="1"/>
    <col min="5137" max="5140" width="10.28515625" style="404" customWidth="1"/>
    <col min="5141" max="5141" width="12.28515625" style="404" customWidth="1"/>
    <col min="5142" max="5142" width="14.28515625" style="404" customWidth="1"/>
    <col min="5143" max="5143" width="7.28515625" style="404" customWidth="1"/>
    <col min="5144" max="5144" width="14.5703125" style="404" customWidth="1"/>
    <col min="5145" max="5145" width="5.42578125" style="404" customWidth="1"/>
    <col min="5146" max="5146" width="15.140625" style="404" customWidth="1"/>
    <col min="5147" max="5147" width="13.5703125" style="404" customWidth="1"/>
    <col min="5148" max="5148" width="14.85546875" style="404" customWidth="1"/>
    <col min="5149" max="5149" width="18.5703125" style="404" customWidth="1"/>
    <col min="5150" max="5150" width="17.42578125" style="404" customWidth="1"/>
    <col min="5151" max="5151" width="15.85546875" style="404" customWidth="1"/>
    <col min="5152" max="5376" width="9.140625" style="404"/>
    <col min="5377" max="5377" width="26.140625" style="404" customWidth="1"/>
    <col min="5378" max="5378" width="11.42578125" style="404" customWidth="1"/>
    <col min="5379" max="5379" width="14.5703125" style="404" customWidth="1"/>
    <col min="5380" max="5380" width="17" style="404" customWidth="1"/>
    <col min="5381" max="5381" width="7.42578125" style="404" customWidth="1"/>
    <col min="5382" max="5382" width="12.7109375" style="404" customWidth="1"/>
    <col min="5383" max="5383" width="5.85546875" style="404" customWidth="1"/>
    <col min="5384" max="5384" width="12.42578125" style="404" customWidth="1"/>
    <col min="5385" max="5385" width="6" style="404" customWidth="1"/>
    <col min="5386" max="5387" width="10.28515625" style="404" customWidth="1"/>
    <col min="5388" max="5388" width="13.5703125" style="404" customWidth="1"/>
    <col min="5389" max="5391" width="10.28515625" style="404" customWidth="1"/>
    <col min="5392" max="5392" width="12.5703125" style="404" customWidth="1"/>
    <col min="5393" max="5396" width="10.28515625" style="404" customWidth="1"/>
    <col min="5397" max="5397" width="12.28515625" style="404" customWidth="1"/>
    <col min="5398" max="5398" width="14.28515625" style="404" customWidth="1"/>
    <col min="5399" max="5399" width="7.28515625" style="404" customWidth="1"/>
    <col min="5400" max="5400" width="14.5703125" style="404" customWidth="1"/>
    <col min="5401" max="5401" width="5.42578125" style="404" customWidth="1"/>
    <col min="5402" max="5402" width="15.140625" style="404" customWidth="1"/>
    <col min="5403" max="5403" width="13.5703125" style="404" customWidth="1"/>
    <col min="5404" max="5404" width="14.85546875" style="404" customWidth="1"/>
    <col min="5405" max="5405" width="18.5703125" style="404" customWidth="1"/>
    <col min="5406" max="5406" width="17.42578125" style="404" customWidth="1"/>
    <col min="5407" max="5407" width="15.85546875" style="404" customWidth="1"/>
    <col min="5408" max="5632" width="9.140625" style="404"/>
    <col min="5633" max="5633" width="26.140625" style="404" customWidth="1"/>
    <col min="5634" max="5634" width="11.42578125" style="404" customWidth="1"/>
    <col min="5635" max="5635" width="14.5703125" style="404" customWidth="1"/>
    <col min="5636" max="5636" width="17" style="404" customWidth="1"/>
    <col min="5637" max="5637" width="7.42578125" style="404" customWidth="1"/>
    <col min="5638" max="5638" width="12.7109375" style="404" customWidth="1"/>
    <col min="5639" max="5639" width="5.85546875" style="404" customWidth="1"/>
    <col min="5640" max="5640" width="12.42578125" style="404" customWidth="1"/>
    <col min="5641" max="5641" width="6" style="404" customWidth="1"/>
    <col min="5642" max="5643" width="10.28515625" style="404" customWidth="1"/>
    <col min="5644" max="5644" width="13.5703125" style="404" customWidth="1"/>
    <col min="5645" max="5647" width="10.28515625" style="404" customWidth="1"/>
    <col min="5648" max="5648" width="12.5703125" style="404" customWidth="1"/>
    <col min="5649" max="5652" width="10.28515625" style="404" customWidth="1"/>
    <col min="5653" max="5653" width="12.28515625" style="404" customWidth="1"/>
    <col min="5654" max="5654" width="14.28515625" style="404" customWidth="1"/>
    <col min="5655" max="5655" width="7.28515625" style="404" customWidth="1"/>
    <col min="5656" max="5656" width="14.5703125" style="404" customWidth="1"/>
    <col min="5657" max="5657" width="5.42578125" style="404" customWidth="1"/>
    <col min="5658" max="5658" width="15.140625" style="404" customWidth="1"/>
    <col min="5659" max="5659" width="13.5703125" style="404" customWidth="1"/>
    <col min="5660" max="5660" width="14.85546875" style="404" customWidth="1"/>
    <col min="5661" max="5661" width="18.5703125" style="404" customWidth="1"/>
    <col min="5662" max="5662" width="17.42578125" style="404" customWidth="1"/>
    <col min="5663" max="5663" width="15.85546875" style="404" customWidth="1"/>
    <col min="5664" max="5888" width="9.140625" style="404"/>
    <col min="5889" max="5889" width="26.140625" style="404" customWidth="1"/>
    <col min="5890" max="5890" width="11.42578125" style="404" customWidth="1"/>
    <col min="5891" max="5891" width="14.5703125" style="404" customWidth="1"/>
    <col min="5892" max="5892" width="17" style="404" customWidth="1"/>
    <col min="5893" max="5893" width="7.42578125" style="404" customWidth="1"/>
    <col min="5894" max="5894" width="12.7109375" style="404" customWidth="1"/>
    <col min="5895" max="5895" width="5.85546875" style="404" customWidth="1"/>
    <col min="5896" max="5896" width="12.42578125" style="404" customWidth="1"/>
    <col min="5897" max="5897" width="6" style="404" customWidth="1"/>
    <col min="5898" max="5899" width="10.28515625" style="404" customWidth="1"/>
    <col min="5900" max="5900" width="13.5703125" style="404" customWidth="1"/>
    <col min="5901" max="5903" width="10.28515625" style="404" customWidth="1"/>
    <col min="5904" max="5904" width="12.5703125" style="404" customWidth="1"/>
    <col min="5905" max="5908" width="10.28515625" style="404" customWidth="1"/>
    <col min="5909" max="5909" width="12.28515625" style="404" customWidth="1"/>
    <col min="5910" max="5910" width="14.28515625" style="404" customWidth="1"/>
    <col min="5911" max="5911" width="7.28515625" style="404" customWidth="1"/>
    <col min="5912" max="5912" width="14.5703125" style="404" customWidth="1"/>
    <col min="5913" max="5913" width="5.42578125" style="404" customWidth="1"/>
    <col min="5914" max="5914" width="15.140625" style="404" customWidth="1"/>
    <col min="5915" max="5915" width="13.5703125" style="404" customWidth="1"/>
    <col min="5916" max="5916" width="14.85546875" style="404" customWidth="1"/>
    <col min="5917" max="5917" width="18.5703125" style="404" customWidth="1"/>
    <col min="5918" max="5918" width="17.42578125" style="404" customWidth="1"/>
    <col min="5919" max="5919" width="15.85546875" style="404" customWidth="1"/>
    <col min="5920" max="6144" width="9.140625" style="404"/>
    <col min="6145" max="6145" width="26.140625" style="404" customWidth="1"/>
    <col min="6146" max="6146" width="11.42578125" style="404" customWidth="1"/>
    <col min="6147" max="6147" width="14.5703125" style="404" customWidth="1"/>
    <col min="6148" max="6148" width="17" style="404" customWidth="1"/>
    <col min="6149" max="6149" width="7.42578125" style="404" customWidth="1"/>
    <col min="6150" max="6150" width="12.7109375" style="404" customWidth="1"/>
    <col min="6151" max="6151" width="5.85546875" style="404" customWidth="1"/>
    <col min="6152" max="6152" width="12.42578125" style="404" customWidth="1"/>
    <col min="6153" max="6153" width="6" style="404" customWidth="1"/>
    <col min="6154" max="6155" width="10.28515625" style="404" customWidth="1"/>
    <col min="6156" max="6156" width="13.5703125" style="404" customWidth="1"/>
    <col min="6157" max="6159" width="10.28515625" style="404" customWidth="1"/>
    <col min="6160" max="6160" width="12.5703125" style="404" customWidth="1"/>
    <col min="6161" max="6164" width="10.28515625" style="404" customWidth="1"/>
    <col min="6165" max="6165" width="12.28515625" style="404" customWidth="1"/>
    <col min="6166" max="6166" width="14.28515625" style="404" customWidth="1"/>
    <col min="6167" max="6167" width="7.28515625" style="404" customWidth="1"/>
    <col min="6168" max="6168" width="14.5703125" style="404" customWidth="1"/>
    <col min="6169" max="6169" width="5.42578125" style="404" customWidth="1"/>
    <col min="6170" max="6170" width="15.140625" style="404" customWidth="1"/>
    <col min="6171" max="6171" width="13.5703125" style="404" customWidth="1"/>
    <col min="6172" max="6172" width="14.85546875" style="404" customWidth="1"/>
    <col min="6173" max="6173" width="18.5703125" style="404" customWidth="1"/>
    <col min="6174" max="6174" width="17.42578125" style="404" customWidth="1"/>
    <col min="6175" max="6175" width="15.85546875" style="404" customWidth="1"/>
    <col min="6176" max="6400" width="9.140625" style="404"/>
    <col min="6401" max="6401" width="26.140625" style="404" customWidth="1"/>
    <col min="6402" max="6402" width="11.42578125" style="404" customWidth="1"/>
    <col min="6403" max="6403" width="14.5703125" style="404" customWidth="1"/>
    <col min="6404" max="6404" width="17" style="404" customWidth="1"/>
    <col min="6405" max="6405" width="7.42578125" style="404" customWidth="1"/>
    <col min="6406" max="6406" width="12.7109375" style="404" customWidth="1"/>
    <col min="6407" max="6407" width="5.85546875" style="404" customWidth="1"/>
    <col min="6408" max="6408" width="12.42578125" style="404" customWidth="1"/>
    <col min="6409" max="6409" width="6" style="404" customWidth="1"/>
    <col min="6410" max="6411" width="10.28515625" style="404" customWidth="1"/>
    <col min="6412" max="6412" width="13.5703125" style="404" customWidth="1"/>
    <col min="6413" max="6415" width="10.28515625" style="404" customWidth="1"/>
    <col min="6416" max="6416" width="12.5703125" style="404" customWidth="1"/>
    <col min="6417" max="6420" width="10.28515625" style="404" customWidth="1"/>
    <col min="6421" max="6421" width="12.28515625" style="404" customWidth="1"/>
    <col min="6422" max="6422" width="14.28515625" style="404" customWidth="1"/>
    <col min="6423" max="6423" width="7.28515625" style="404" customWidth="1"/>
    <col min="6424" max="6424" width="14.5703125" style="404" customWidth="1"/>
    <col min="6425" max="6425" width="5.42578125" style="404" customWidth="1"/>
    <col min="6426" max="6426" width="15.140625" style="404" customWidth="1"/>
    <col min="6427" max="6427" width="13.5703125" style="404" customWidth="1"/>
    <col min="6428" max="6428" width="14.85546875" style="404" customWidth="1"/>
    <col min="6429" max="6429" width="18.5703125" style="404" customWidth="1"/>
    <col min="6430" max="6430" width="17.42578125" style="404" customWidth="1"/>
    <col min="6431" max="6431" width="15.85546875" style="404" customWidth="1"/>
    <col min="6432" max="6656" width="9.140625" style="404"/>
    <col min="6657" max="6657" width="26.140625" style="404" customWidth="1"/>
    <col min="6658" max="6658" width="11.42578125" style="404" customWidth="1"/>
    <col min="6659" max="6659" width="14.5703125" style="404" customWidth="1"/>
    <col min="6660" max="6660" width="17" style="404" customWidth="1"/>
    <col min="6661" max="6661" width="7.42578125" style="404" customWidth="1"/>
    <col min="6662" max="6662" width="12.7109375" style="404" customWidth="1"/>
    <col min="6663" max="6663" width="5.85546875" style="404" customWidth="1"/>
    <col min="6664" max="6664" width="12.42578125" style="404" customWidth="1"/>
    <col min="6665" max="6665" width="6" style="404" customWidth="1"/>
    <col min="6666" max="6667" width="10.28515625" style="404" customWidth="1"/>
    <col min="6668" max="6668" width="13.5703125" style="404" customWidth="1"/>
    <col min="6669" max="6671" width="10.28515625" style="404" customWidth="1"/>
    <col min="6672" max="6672" width="12.5703125" style="404" customWidth="1"/>
    <col min="6673" max="6676" width="10.28515625" style="404" customWidth="1"/>
    <col min="6677" max="6677" width="12.28515625" style="404" customWidth="1"/>
    <col min="6678" max="6678" width="14.28515625" style="404" customWidth="1"/>
    <col min="6679" max="6679" width="7.28515625" style="404" customWidth="1"/>
    <col min="6680" max="6680" width="14.5703125" style="404" customWidth="1"/>
    <col min="6681" max="6681" width="5.42578125" style="404" customWidth="1"/>
    <col min="6682" max="6682" width="15.140625" style="404" customWidth="1"/>
    <col min="6683" max="6683" width="13.5703125" style="404" customWidth="1"/>
    <col min="6684" max="6684" width="14.85546875" style="404" customWidth="1"/>
    <col min="6685" max="6685" width="18.5703125" style="404" customWidth="1"/>
    <col min="6686" max="6686" width="17.42578125" style="404" customWidth="1"/>
    <col min="6687" max="6687" width="15.85546875" style="404" customWidth="1"/>
    <col min="6688" max="6912" width="9.140625" style="404"/>
    <col min="6913" max="6913" width="26.140625" style="404" customWidth="1"/>
    <col min="6914" max="6914" width="11.42578125" style="404" customWidth="1"/>
    <col min="6915" max="6915" width="14.5703125" style="404" customWidth="1"/>
    <col min="6916" max="6916" width="17" style="404" customWidth="1"/>
    <col min="6917" max="6917" width="7.42578125" style="404" customWidth="1"/>
    <col min="6918" max="6918" width="12.7109375" style="404" customWidth="1"/>
    <col min="6919" max="6919" width="5.85546875" style="404" customWidth="1"/>
    <col min="6920" max="6920" width="12.42578125" style="404" customWidth="1"/>
    <col min="6921" max="6921" width="6" style="404" customWidth="1"/>
    <col min="6922" max="6923" width="10.28515625" style="404" customWidth="1"/>
    <col min="6924" max="6924" width="13.5703125" style="404" customWidth="1"/>
    <col min="6925" max="6927" width="10.28515625" style="404" customWidth="1"/>
    <col min="6928" max="6928" width="12.5703125" style="404" customWidth="1"/>
    <col min="6929" max="6932" width="10.28515625" style="404" customWidth="1"/>
    <col min="6933" max="6933" width="12.28515625" style="404" customWidth="1"/>
    <col min="6934" max="6934" width="14.28515625" style="404" customWidth="1"/>
    <col min="6935" max="6935" width="7.28515625" style="404" customWidth="1"/>
    <col min="6936" max="6936" width="14.5703125" style="404" customWidth="1"/>
    <col min="6937" max="6937" width="5.42578125" style="404" customWidth="1"/>
    <col min="6938" max="6938" width="15.140625" style="404" customWidth="1"/>
    <col min="6939" max="6939" width="13.5703125" style="404" customWidth="1"/>
    <col min="6940" max="6940" width="14.85546875" style="404" customWidth="1"/>
    <col min="6941" max="6941" width="18.5703125" style="404" customWidth="1"/>
    <col min="6942" max="6942" width="17.42578125" style="404" customWidth="1"/>
    <col min="6943" max="6943" width="15.85546875" style="404" customWidth="1"/>
    <col min="6944" max="7168" width="9.140625" style="404"/>
    <col min="7169" max="7169" width="26.140625" style="404" customWidth="1"/>
    <col min="7170" max="7170" width="11.42578125" style="404" customWidth="1"/>
    <col min="7171" max="7171" width="14.5703125" style="404" customWidth="1"/>
    <col min="7172" max="7172" width="17" style="404" customWidth="1"/>
    <col min="7173" max="7173" width="7.42578125" style="404" customWidth="1"/>
    <col min="7174" max="7174" width="12.7109375" style="404" customWidth="1"/>
    <col min="7175" max="7175" width="5.85546875" style="404" customWidth="1"/>
    <col min="7176" max="7176" width="12.42578125" style="404" customWidth="1"/>
    <col min="7177" max="7177" width="6" style="404" customWidth="1"/>
    <col min="7178" max="7179" width="10.28515625" style="404" customWidth="1"/>
    <col min="7180" max="7180" width="13.5703125" style="404" customWidth="1"/>
    <col min="7181" max="7183" width="10.28515625" style="404" customWidth="1"/>
    <col min="7184" max="7184" width="12.5703125" style="404" customWidth="1"/>
    <col min="7185" max="7188" width="10.28515625" style="404" customWidth="1"/>
    <col min="7189" max="7189" width="12.28515625" style="404" customWidth="1"/>
    <col min="7190" max="7190" width="14.28515625" style="404" customWidth="1"/>
    <col min="7191" max="7191" width="7.28515625" style="404" customWidth="1"/>
    <col min="7192" max="7192" width="14.5703125" style="404" customWidth="1"/>
    <col min="7193" max="7193" width="5.42578125" style="404" customWidth="1"/>
    <col min="7194" max="7194" width="15.140625" style="404" customWidth="1"/>
    <col min="7195" max="7195" width="13.5703125" style="404" customWidth="1"/>
    <col min="7196" max="7196" width="14.85546875" style="404" customWidth="1"/>
    <col min="7197" max="7197" width="18.5703125" style="404" customWidth="1"/>
    <col min="7198" max="7198" width="17.42578125" style="404" customWidth="1"/>
    <col min="7199" max="7199" width="15.85546875" style="404" customWidth="1"/>
    <col min="7200" max="7424" width="9.140625" style="404"/>
    <col min="7425" max="7425" width="26.140625" style="404" customWidth="1"/>
    <col min="7426" max="7426" width="11.42578125" style="404" customWidth="1"/>
    <col min="7427" max="7427" width="14.5703125" style="404" customWidth="1"/>
    <col min="7428" max="7428" width="17" style="404" customWidth="1"/>
    <col min="7429" max="7429" width="7.42578125" style="404" customWidth="1"/>
    <col min="7430" max="7430" width="12.7109375" style="404" customWidth="1"/>
    <col min="7431" max="7431" width="5.85546875" style="404" customWidth="1"/>
    <col min="7432" max="7432" width="12.42578125" style="404" customWidth="1"/>
    <col min="7433" max="7433" width="6" style="404" customWidth="1"/>
    <col min="7434" max="7435" width="10.28515625" style="404" customWidth="1"/>
    <col min="7436" max="7436" width="13.5703125" style="404" customWidth="1"/>
    <col min="7437" max="7439" width="10.28515625" style="404" customWidth="1"/>
    <col min="7440" max="7440" width="12.5703125" style="404" customWidth="1"/>
    <col min="7441" max="7444" width="10.28515625" style="404" customWidth="1"/>
    <col min="7445" max="7445" width="12.28515625" style="404" customWidth="1"/>
    <col min="7446" max="7446" width="14.28515625" style="404" customWidth="1"/>
    <col min="7447" max="7447" width="7.28515625" style="404" customWidth="1"/>
    <col min="7448" max="7448" width="14.5703125" style="404" customWidth="1"/>
    <col min="7449" max="7449" width="5.42578125" style="404" customWidth="1"/>
    <col min="7450" max="7450" width="15.140625" style="404" customWidth="1"/>
    <col min="7451" max="7451" width="13.5703125" style="404" customWidth="1"/>
    <col min="7452" max="7452" width="14.85546875" style="404" customWidth="1"/>
    <col min="7453" max="7453" width="18.5703125" style="404" customWidth="1"/>
    <col min="7454" max="7454" width="17.42578125" style="404" customWidth="1"/>
    <col min="7455" max="7455" width="15.85546875" style="404" customWidth="1"/>
    <col min="7456" max="7680" width="9.140625" style="404"/>
    <col min="7681" max="7681" width="26.140625" style="404" customWidth="1"/>
    <col min="7682" max="7682" width="11.42578125" style="404" customWidth="1"/>
    <col min="7683" max="7683" width="14.5703125" style="404" customWidth="1"/>
    <col min="7684" max="7684" width="17" style="404" customWidth="1"/>
    <col min="7685" max="7685" width="7.42578125" style="404" customWidth="1"/>
    <col min="7686" max="7686" width="12.7109375" style="404" customWidth="1"/>
    <col min="7687" max="7687" width="5.85546875" style="404" customWidth="1"/>
    <col min="7688" max="7688" width="12.42578125" style="404" customWidth="1"/>
    <col min="7689" max="7689" width="6" style="404" customWidth="1"/>
    <col min="7690" max="7691" width="10.28515625" style="404" customWidth="1"/>
    <col min="7692" max="7692" width="13.5703125" style="404" customWidth="1"/>
    <col min="7693" max="7695" width="10.28515625" style="404" customWidth="1"/>
    <col min="7696" max="7696" width="12.5703125" style="404" customWidth="1"/>
    <col min="7697" max="7700" width="10.28515625" style="404" customWidth="1"/>
    <col min="7701" max="7701" width="12.28515625" style="404" customWidth="1"/>
    <col min="7702" max="7702" width="14.28515625" style="404" customWidth="1"/>
    <col min="7703" max="7703" width="7.28515625" style="404" customWidth="1"/>
    <col min="7704" max="7704" width="14.5703125" style="404" customWidth="1"/>
    <col min="7705" max="7705" width="5.42578125" style="404" customWidth="1"/>
    <col min="7706" max="7706" width="15.140625" style="404" customWidth="1"/>
    <col min="7707" max="7707" width="13.5703125" style="404" customWidth="1"/>
    <col min="7708" max="7708" width="14.85546875" style="404" customWidth="1"/>
    <col min="7709" max="7709" width="18.5703125" style="404" customWidth="1"/>
    <col min="7710" max="7710" width="17.42578125" style="404" customWidth="1"/>
    <col min="7711" max="7711" width="15.85546875" style="404" customWidth="1"/>
    <col min="7712" max="7936" width="9.140625" style="404"/>
    <col min="7937" max="7937" width="26.140625" style="404" customWidth="1"/>
    <col min="7938" max="7938" width="11.42578125" style="404" customWidth="1"/>
    <col min="7939" max="7939" width="14.5703125" style="404" customWidth="1"/>
    <col min="7940" max="7940" width="17" style="404" customWidth="1"/>
    <col min="7941" max="7941" width="7.42578125" style="404" customWidth="1"/>
    <col min="7942" max="7942" width="12.7109375" style="404" customWidth="1"/>
    <col min="7943" max="7943" width="5.85546875" style="404" customWidth="1"/>
    <col min="7944" max="7944" width="12.42578125" style="404" customWidth="1"/>
    <col min="7945" max="7945" width="6" style="404" customWidth="1"/>
    <col min="7946" max="7947" width="10.28515625" style="404" customWidth="1"/>
    <col min="7948" max="7948" width="13.5703125" style="404" customWidth="1"/>
    <col min="7949" max="7951" width="10.28515625" style="404" customWidth="1"/>
    <col min="7952" max="7952" width="12.5703125" style="404" customWidth="1"/>
    <col min="7953" max="7956" width="10.28515625" style="404" customWidth="1"/>
    <col min="7957" max="7957" width="12.28515625" style="404" customWidth="1"/>
    <col min="7958" max="7958" width="14.28515625" style="404" customWidth="1"/>
    <col min="7959" max="7959" width="7.28515625" style="404" customWidth="1"/>
    <col min="7960" max="7960" width="14.5703125" style="404" customWidth="1"/>
    <col min="7961" max="7961" width="5.42578125" style="404" customWidth="1"/>
    <col min="7962" max="7962" width="15.140625" style="404" customWidth="1"/>
    <col min="7963" max="7963" width="13.5703125" style="404" customWidth="1"/>
    <col min="7964" max="7964" width="14.85546875" style="404" customWidth="1"/>
    <col min="7965" max="7965" width="18.5703125" style="404" customWidth="1"/>
    <col min="7966" max="7966" width="17.42578125" style="404" customWidth="1"/>
    <col min="7967" max="7967" width="15.85546875" style="404" customWidth="1"/>
    <col min="7968" max="8192" width="9.140625" style="404"/>
    <col min="8193" max="8193" width="26.140625" style="404" customWidth="1"/>
    <col min="8194" max="8194" width="11.42578125" style="404" customWidth="1"/>
    <col min="8195" max="8195" width="14.5703125" style="404" customWidth="1"/>
    <col min="8196" max="8196" width="17" style="404" customWidth="1"/>
    <col min="8197" max="8197" width="7.42578125" style="404" customWidth="1"/>
    <col min="8198" max="8198" width="12.7109375" style="404" customWidth="1"/>
    <col min="8199" max="8199" width="5.85546875" style="404" customWidth="1"/>
    <col min="8200" max="8200" width="12.42578125" style="404" customWidth="1"/>
    <col min="8201" max="8201" width="6" style="404" customWidth="1"/>
    <col min="8202" max="8203" width="10.28515625" style="404" customWidth="1"/>
    <col min="8204" max="8204" width="13.5703125" style="404" customWidth="1"/>
    <col min="8205" max="8207" width="10.28515625" style="404" customWidth="1"/>
    <col min="8208" max="8208" width="12.5703125" style="404" customWidth="1"/>
    <col min="8209" max="8212" width="10.28515625" style="404" customWidth="1"/>
    <col min="8213" max="8213" width="12.28515625" style="404" customWidth="1"/>
    <col min="8214" max="8214" width="14.28515625" style="404" customWidth="1"/>
    <col min="8215" max="8215" width="7.28515625" style="404" customWidth="1"/>
    <col min="8216" max="8216" width="14.5703125" style="404" customWidth="1"/>
    <col min="8217" max="8217" width="5.42578125" style="404" customWidth="1"/>
    <col min="8218" max="8218" width="15.140625" style="404" customWidth="1"/>
    <col min="8219" max="8219" width="13.5703125" style="404" customWidth="1"/>
    <col min="8220" max="8220" width="14.85546875" style="404" customWidth="1"/>
    <col min="8221" max="8221" width="18.5703125" style="404" customWidth="1"/>
    <col min="8222" max="8222" width="17.42578125" style="404" customWidth="1"/>
    <col min="8223" max="8223" width="15.85546875" style="404" customWidth="1"/>
    <col min="8224" max="8448" width="9.140625" style="404"/>
    <col min="8449" max="8449" width="26.140625" style="404" customWidth="1"/>
    <col min="8450" max="8450" width="11.42578125" style="404" customWidth="1"/>
    <col min="8451" max="8451" width="14.5703125" style="404" customWidth="1"/>
    <col min="8452" max="8452" width="17" style="404" customWidth="1"/>
    <col min="8453" max="8453" width="7.42578125" style="404" customWidth="1"/>
    <col min="8454" max="8454" width="12.7109375" style="404" customWidth="1"/>
    <col min="8455" max="8455" width="5.85546875" style="404" customWidth="1"/>
    <col min="8456" max="8456" width="12.42578125" style="404" customWidth="1"/>
    <col min="8457" max="8457" width="6" style="404" customWidth="1"/>
    <col min="8458" max="8459" width="10.28515625" style="404" customWidth="1"/>
    <col min="8460" max="8460" width="13.5703125" style="404" customWidth="1"/>
    <col min="8461" max="8463" width="10.28515625" style="404" customWidth="1"/>
    <col min="8464" max="8464" width="12.5703125" style="404" customWidth="1"/>
    <col min="8465" max="8468" width="10.28515625" style="404" customWidth="1"/>
    <col min="8469" max="8469" width="12.28515625" style="404" customWidth="1"/>
    <col min="8470" max="8470" width="14.28515625" style="404" customWidth="1"/>
    <col min="8471" max="8471" width="7.28515625" style="404" customWidth="1"/>
    <col min="8472" max="8472" width="14.5703125" style="404" customWidth="1"/>
    <col min="8473" max="8473" width="5.42578125" style="404" customWidth="1"/>
    <col min="8474" max="8474" width="15.140625" style="404" customWidth="1"/>
    <col min="8475" max="8475" width="13.5703125" style="404" customWidth="1"/>
    <col min="8476" max="8476" width="14.85546875" style="404" customWidth="1"/>
    <col min="8477" max="8477" width="18.5703125" style="404" customWidth="1"/>
    <col min="8478" max="8478" width="17.42578125" style="404" customWidth="1"/>
    <col min="8479" max="8479" width="15.85546875" style="404" customWidth="1"/>
    <col min="8480" max="8704" width="9.140625" style="404"/>
    <col min="8705" max="8705" width="26.140625" style="404" customWidth="1"/>
    <col min="8706" max="8706" width="11.42578125" style="404" customWidth="1"/>
    <col min="8707" max="8707" width="14.5703125" style="404" customWidth="1"/>
    <col min="8708" max="8708" width="17" style="404" customWidth="1"/>
    <col min="8709" max="8709" width="7.42578125" style="404" customWidth="1"/>
    <col min="8710" max="8710" width="12.7109375" style="404" customWidth="1"/>
    <col min="8711" max="8711" width="5.85546875" style="404" customWidth="1"/>
    <col min="8712" max="8712" width="12.42578125" style="404" customWidth="1"/>
    <col min="8713" max="8713" width="6" style="404" customWidth="1"/>
    <col min="8714" max="8715" width="10.28515625" style="404" customWidth="1"/>
    <col min="8716" max="8716" width="13.5703125" style="404" customWidth="1"/>
    <col min="8717" max="8719" width="10.28515625" style="404" customWidth="1"/>
    <col min="8720" max="8720" width="12.5703125" style="404" customWidth="1"/>
    <col min="8721" max="8724" width="10.28515625" style="404" customWidth="1"/>
    <col min="8725" max="8725" width="12.28515625" style="404" customWidth="1"/>
    <col min="8726" max="8726" width="14.28515625" style="404" customWidth="1"/>
    <col min="8727" max="8727" width="7.28515625" style="404" customWidth="1"/>
    <col min="8728" max="8728" width="14.5703125" style="404" customWidth="1"/>
    <col min="8729" max="8729" width="5.42578125" style="404" customWidth="1"/>
    <col min="8730" max="8730" width="15.140625" style="404" customWidth="1"/>
    <col min="8731" max="8731" width="13.5703125" style="404" customWidth="1"/>
    <col min="8732" max="8732" width="14.85546875" style="404" customWidth="1"/>
    <col min="8733" max="8733" width="18.5703125" style="404" customWidth="1"/>
    <col min="8734" max="8734" width="17.42578125" style="404" customWidth="1"/>
    <col min="8735" max="8735" width="15.85546875" style="404" customWidth="1"/>
    <col min="8736" max="8960" width="9.140625" style="404"/>
    <col min="8961" max="8961" width="26.140625" style="404" customWidth="1"/>
    <col min="8962" max="8962" width="11.42578125" style="404" customWidth="1"/>
    <col min="8963" max="8963" width="14.5703125" style="404" customWidth="1"/>
    <col min="8964" max="8964" width="17" style="404" customWidth="1"/>
    <col min="8965" max="8965" width="7.42578125" style="404" customWidth="1"/>
    <col min="8966" max="8966" width="12.7109375" style="404" customWidth="1"/>
    <col min="8967" max="8967" width="5.85546875" style="404" customWidth="1"/>
    <col min="8968" max="8968" width="12.42578125" style="404" customWidth="1"/>
    <col min="8969" max="8969" width="6" style="404" customWidth="1"/>
    <col min="8970" max="8971" width="10.28515625" style="404" customWidth="1"/>
    <col min="8972" max="8972" width="13.5703125" style="404" customWidth="1"/>
    <col min="8973" max="8975" width="10.28515625" style="404" customWidth="1"/>
    <col min="8976" max="8976" width="12.5703125" style="404" customWidth="1"/>
    <col min="8977" max="8980" width="10.28515625" style="404" customWidth="1"/>
    <col min="8981" max="8981" width="12.28515625" style="404" customWidth="1"/>
    <col min="8982" max="8982" width="14.28515625" style="404" customWidth="1"/>
    <col min="8983" max="8983" width="7.28515625" style="404" customWidth="1"/>
    <col min="8984" max="8984" width="14.5703125" style="404" customWidth="1"/>
    <col min="8985" max="8985" width="5.42578125" style="404" customWidth="1"/>
    <col min="8986" max="8986" width="15.140625" style="404" customWidth="1"/>
    <col min="8987" max="8987" width="13.5703125" style="404" customWidth="1"/>
    <col min="8988" max="8988" width="14.85546875" style="404" customWidth="1"/>
    <col min="8989" max="8989" width="18.5703125" style="404" customWidth="1"/>
    <col min="8990" max="8990" width="17.42578125" style="404" customWidth="1"/>
    <col min="8991" max="8991" width="15.85546875" style="404" customWidth="1"/>
    <col min="8992" max="9216" width="9.140625" style="404"/>
    <col min="9217" max="9217" width="26.140625" style="404" customWidth="1"/>
    <col min="9218" max="9218" width="11.42578125" style="404" customWidth="1"/>
    <col min="9219" max="9219" width="14.5703125" style="404" customWidth="1"/>
    <col min="9220" max="9220" width="17" style="404" customWidth="1"/>
    <col min="9221" max="9221" width="7.42578125" style="404" customWidth="1"/>
    <col min="9222" max="9222" width="12.7109375" style="404" customWidth="1"/>
    <col min="9223" max="9223" width="5.85546875" style="404" customWidth="1"/>
    <col min="9224" max="9224" width="12.42578125" style="404" customWidth="1"/>
    <col min="9225" max="9225" width="6" style="404" customWidth="1"/>
    <col min="9226" max="9227" width="10.28515625" style="404" customWidth="1"/>
    <col min="9228" max="9228" width="13.5703125" style="404" customWidth="1"/>
    <col min="9229" max="9231" width="10.28515625" style="404" customWidth="1"/>
    <col min="9232" max="9232" width="12.5703125" style="404" customWidth="1"/>
    <col min="9233" max="9236" width="10.28515625" style="404" customWidth="1"/>
    <col min="9237" max="9237" width="12.28515625" style="404" customWidth="1"/>
    <col min="9238" max="9238" width="14.28515625" style="404" customWidth="1"/>
    <col min="9239" max="9239" width="7.28515625" style="404" customWidth="1"/>
    <col min="9240" max="9240" width="14.5703125" style="404" customWidth="1"/>
    <col min="9241" max="9241" width="5.42578125" style="404" customWidth="1"/>
    <col min="9242" max="9242" width="15.140625" style="404" customWidth="1"/>
    <col min="9243" max="9243" width="13.5703125" style="404" customWidth="1"/>
    <col min="9244" max="9244" width="14.85546875" style="404" customWidth="1"/>
    <col min="9245" max="9245" width="18.5703125" style="404" customWidth="1"/>
    <col min="9246" max="9246" width="17.42578125" style="404" customWidth="1"/>
    <col min="9247" max="9247" width="15.85546875" style="404" customWidth="1"/>
    <col min="9248" max="9472" width="9.140625" style="404"/>
    <col min="9473" max="9473" width="26.140625" style="404" customWidth="1"/>
    <col min="9474" max="9474" width="11.42578125" style="404" customWidth="1"/>
    <col min="9475" max="9475" width="14.5703125" style="404" customWidth="1"/>
    <col min="9476" max="9476" width="17" style="404" customWidth="1"/>
    <col min="9477" max="9477" width="7.42578125" style="404" customWidth="1"/>
    <col min="9478" max="9478" width="12.7109375" style="404" customWidth="1"/>
    <col min="9479" max="9479" width="5.85546875" style="404" customWidth="1"/>
    <col min="9480" max="9480" width="12.42578125" style="404" customWidth="1"/>
    <col min="9481" max="9481" width="6" style="404" customWidth="1"/>
    <col min="9482" max="9483" width="10.28515625" style="404" customWidth="1"/>
    <col min="9484" max="9484" width="13.5703125" style="404" customWidth="1"/>
    <col min="9485" max="9487" width="10.28515625" style="404" customWidth="1"/>
    <col min="9488" max="9488" width="12.5703125" style="404" customWidth="1"/>
    <col min="9489" max="9492" width="10.28515625" style="404" customWidth="1"/>
    <col min="9493" max="9493" width="12.28515625" style="404" customWidth="1"/>
    <col min="9494" max="9494" width="14.28515625" style="404" customWidth="1"/>
    <col min="9495" max="9495" width="7.28515625" style="404" customWidth="1"/>
    <col min="9496" max="9496" width="14.5703125" style="404" customWidth="1"/>
    <col min="9497" max="9497" width="5.42578125" style="404" customWidth="1"/>
    <col min="9498" max="9498" width="15.140625" style="404" customWidth="1"/>
    <col min="9499" max="9499" width="13.5703125" style="404" customWidth="1"/>
    <col min="9500" max="9500" width="14.85546875" style="404" customWidth="1"/>
    <col min="9501" max="9501" width="18.5703125" style="404" customWidth="1"/>
    <col min="9502" max="9502" width="17.42578125" style="404" customWidth="1"/>
    <col min="9503" max="9503" width="15.85546875" style="404" customWidth="1"/>
    <col min="9504" max="9728" width="9.140625" style="404"/>
    <col min="9729" max="9729" width="26.140625" style="404" customWidth="1"/>
    <col min="9730" max="9730" width="11.42578125" style="404" customWidth="1"/>
    <col min="9731" max="9731" width="14.5703125" style="404" customWidth="1"/>
    <col min="9732" max="9732" width="17" style="404" customWidth="1"/>
    <col min="9733" max="9733" width="7.42578125" style="404" customWidth="1"/>
    <col min="9734" max="9734" width="12.7109375" style="404" customWidth="1"/>
    <col min="9735" max="9735" width="5.85546875" style="404" customWidth="1"/>
    <col min="9736" max="9736" width="12.42578125" style="404" customWidth="1"/>
    <col min="9737" max="9737" width="6" style="404" customWidth="1"/>
    <col min="9738" max="9739" width="10.28515625" style="404" customWidth="1"/>
    <col min="9740" max="9740" width="13.5703125" style="404" customWidth="1"/>
    <col min="9741" max="9743" width="10.28515625" style="404" customWidth="1"/>
    <col min="9744" max="9744" width="12.5703125" style="404" customWidth="1"/>
    <col min="9745" max="9748" width="10.28515625" style="404" customWidth="1"/>
    <col min="9749" max="9749" width="12.28515625" style="404" customWidth="1"/>
    <col min="9750" max="9750" width="14.28515625" style="404" customWidth="1"/>
    <col min="9751" max="9751" width="7.28515625" style="404" customWidth="1"/>
    <col min="9752" max="9752" width="14.5703125" style="404" customWidth="1"/>
    <col min="9753" max="9753" width="5.42578125" style="404" customWidth="1"/>
    <col min="9754" max="9754" width="15.140625" style="404" customWidth="1"/>
    <col min="9755" max="9755" width="13.5703125" style="404" customWidth="1"/>
    <col min="9756" max="9756" width="14.85546875" style="404" customWidth="1"/>
    <col min="9757" max="9757" width="18.5703125" style="404" customWidth="1"/>
    <col min="9758" max="9758" width="17.42578125" style="404" customWidth="1"/>
    <col min="9759" max="9759" width="15.85546875" style="404" customWidth="1"/>
    <col min="9760" max="9984" width="9.140625" style="404"/>
    <col min="9985" max="9985" width="26.140625" style="404" customWidth="1"/>
    <col min="9986" max="9986" width="11.42578125" style="404" customWidth="1"/>
    <col min="9987" max="9987" width="14.5703125" style="404" customWidth="1"/>
    <col min="9988" max="9988" width="17" style="404" customWidth="1"/>
    <col min="9989" max="9989" width="7.42578125" style="404" customWidth="1"/>
    <col min="9990" max="9990" width="12.7109375" style="404" customWidth="1"/>
    <col min="9991" max="9991" width="5.85546875" style="404" customWidth="1"/>
    <col min="9992" max="9992" width="12.42578125" style="404" customWidth="1"/>
    <col min="9993" max="9993" width="6" style="404" customWidth="1"/>
    <col min="9994" max="9995" width="10.28515625" style="404" customWidth="1"/>
    <col min="9996" max="9996" width="13.5703125" style="404" customWidth="1"/>
    <col min="9997" max="9999" width="10.28515625" style="404" customWidth="1"/>
    <col min="10000" max="10000" width="12.5703125" style="404" customWidth="1"/>
    <col min="10001" max="10004" width="10.28515625" style="404" customWidth="1"/>
    <col min="10005" max="10005" width="12.28515625" style="404" customWidth="1"/>
    <col min="10006" max="10006" width="14.28515625" style="404" customWidth="1"/>
    <col min="10007" max="10007" width="7.28515625" style="404" customWidth="1"/>
    <col min="10008" max="10008" width="14.5703125" style="404" customWidth="1"/>
    <col min="10009" max="10009" width="5.42578125" style="404" customWidth="1"/>
    <col min="10010" max="10010" width="15.140625" style="404" customWidth="1"/>
    <col min="10011" max="10011" width="13.5703125" style="404" customWidth="1"/>
    <col min="10012" max="10012" width="14.85546875" style="404" customWidth="1"/>
    <col min="10013" max="10013" width="18.5703125" style="404" customWidth="1"/>
    <col min="10014" max="10014" width="17.42578125" style="404" customWidth="1"/>
    <col min="10015" max="10015" width="15.85546875" style="404" customWidth="1"/>
    <col min="10016" max="10240" width="9.140625" style="404"/>
    <col min="10241" max="10241" width="26.140625" style="404" customWidth="1"/>
    <col min="10242" max="10242" width="11.42578125" style="404" customWidth="1"/>
    <col min="10243" max="10243" width="14.5703125" style="404" customWidth="1"/>
    <col min="10244" max="10244" width="17" style="404" customWidth="1"/>
    <col min="10245" max="10245" width="7.42578125" style="404" customWidth="1"/>
    <col min="10246" max="10246" width="12.7109375" style="404" customWidth="1"/>
    <col min="10247" max="10247" width="5.85546875" style="404" customWidth="1"/>
    <col min="10248" max="10248" width="12.42578125" style="404" customWidth="1"/>
    <col min="10249" max="10249" width="6" style="404" customWidth="1"/>
    <col min="10250" max="10251" width="10.28515625" style="404" customWidth="1"/>
    <col min="10252" max="10252" width="13.5703125" style="404" customWidth="1"/>
    <col min="10253" max="10255" width="10.28515625" style="404" customWidth="1"/>
    <col min="10256" max="10256" width="12.5703125" style="404" customWidth="1"/>
    <col min="10257" max="10260" width="10.28515625" style="404" customWidth="1"/>
    <col min="10261" max="10261" width="12.28515625" style="404" customWidth="1"/>
    <col min="10262" max="10262" width="14.28515625" style="404" customWidth="1"/>
    <col min="10263" max="10263" width="7.28515625" style="404" customWidth="1"/>
    <col min="10264" max="10264" width="14.5703125" style="404" customWidth="1"/>
    <col min="10265" max="10265" width="5.42578125" style="404" customWidth="1"/>
    <col min="10266" max="10266" width="15.140625" style="404" customWidth="1"/>
    <col min="10267" max="10267" width="13.5703125" style="404" customWidth="1"/>
    <col min="10268" max="10268" width="14.85546875" style="404" customWidth="1"/>
    <col min="10269" max="10269" width="18.5703125" style="404" customWidth="1"/>
    <col min="10270" max="10270" width="17.42578125" style="404" customWidth="1"/>
    <col min="10271" max="10271" width="15.85546875" style="404" customWidth="1"/>
    <col min="10272" max="10496" width="9.140625" style="404"/>
    <col min="10497" max="10497" width="26.140625" style="404" customWidth="1"/>
    <col min="10498" max="10498" width="11.42578125" style="404" customWidth="1"/>
    <col min="10499" max="10499" width="14.5703125" style="404" customWidth="1"/>
    <col min="10500" max="10500" width="17" style="404" customWidth="1"/>
    <col min="10501" max="10501" width="7.42578125" style="404" customWidth="1"/>
    <col min="10502" max="10502" width="12.7109375" style="404" customWidth="1"/>
    <col min="10503" max="10503" width="5.85546875" style="404" customWidth="1"/>
    <col min="10504" max="10504" width="12.42578125" style="404" customWidth="1"/>
    <col min="10505" max="10505" width="6" style="404" customWidth="1"/>
    <col min="10506" max="10507" width="10.28515625" style="404" customWidth="1"/>
    <col min="10508" max="10508" width="13.5703125" style="404" customWidth="1"/>
    <col min="10509" max="10511" width="10.28515625" style="404" customWidth="1"/>
    <col min="10512" max="10512" width="12.5703125" style="404" customWidth="1"/>
    <col min="10513" max="10516" width="10.28515625" style="404" customWidth="1"/>
    <col min="10517" max="10517" width="12.28515625" style="404" customWidth="1"/>
    <col min="10518" max="10518" width="14.28515625" style="404" customWidth="1"/>
    <col min="10519" max="10519" width="7.28515625" style="404" customWidth="1"/>
    <col min="10520" max="10520" width="14.5703125" style="404" customWidth="1"/>
    <col min="10521" max="10521" width="5.42578125" style="404" customWidth="1"/>
    <col min="10522" max="10522" width="15.140625" style="404" customWidth="1"/>
    <col min="10523" max="10523" width="13.5703125" style="404" customWidth="1"/>
    <col min="10524" max="10524" width="14.85546875" style="404" customWidth="1"/>
    <col min="10525" max="10525" width="18.5703125" style="404" customWidth="1"/>
    <col min="10526" max="10526" width="17.42578125" style="404" customWidth="1"/>
    <col min="10527" max="10527" width="15.85546875" style="404" customWidth="1"/>
    <col min="10528" max="10752" width="9.140625" style="404"/>
    <col min="10753" max="10753" width="26.140625" style="404" customWidth="1"/>
    <col min="10754" max="10754" width="11.42578125" style="404" customWidth="1"/>
    <col min="10755" max="10755" width="14.5703125" style="404" customWidth="1"/>
    <col min="10756" max="10756" width="17" style="404" customWidth="1"/>
    <col min="10757" max="10757" width="7.42578125" style="404" customWidth="1"/>
    <col min="10758" max="10758" width="12.7109375" style="404" customWidth="1"/>
    <col min="10759" max="10759" width="5.85546875" style="404" customWidth="1"/>
    <col min="10760" max="10760" width="12.42578125" style="404" customWidth="1"/>
    <col min="10761" max="10761" width="6" style="404" customWidth="1"/>
    <col min="10762" max="10763" width="10.28515625" style="404" customWidth="1"/>
    <col min="10764" max="10764" width="13.5703125" style="404" customWidth="1"/>
    <col min="10765" max="10767" width="10.28515625" style="404" customWidth="1"/>
    <col min="10768" max="10768" width="12.5703125" style="404" customWidth="1"/>
    <col min="10769" max="10772" width="10.28515625" style="404" customWidth="1"/>
    <col min="10773" max="10773" width="12.28515625" style="404" customWidth="1"/>
    <col min="10774" max="10774" width="14.28515625" style="404" customWidth="1"/>
    <col min="10775" max="10775" width="7.28515625" style="404" customWidth="1"/>
    <col min="10776" max="10776" width="14.5703125" style="404" customWidth="1"/>
    <col min="10777" max="10777" width="5.42578125" style="404" customWidth="1"/>
    <col min="10778" max="10778" width="15.140625" style="404" customWidth="1"/>
    <col min="10779" max="10779" width="13.5703125" style="404" customWidth="1"/>
    <col min="10780" max="10780" width="14.85546875" style="404" customWidth="1"/>
    <col min="10781" max="10781" width="18.5703125" style="404" customWidth="1"/>
    <col min="10782" max="10782" width="17.42578125" style="404" customWidth="1"/>
    <col min="10783" max="10783" width="15.85546875" style="404" customWidth="1"/>
    <col min="10784" max="11008" width="9.140625" style="404"/>
    <col min="11009" max="11009" width="26.140625" style="404" customWidth="1"/>
    <col min="11010" max="11010" width="11.42578125" style="404" customWidth="1"/>
    <col min="11011" max="11011" width="14.5703125" style="404" customWidth="1"/>
    <col min="11012" max="11012" width="17" style="404" customWidth="1"/>
    <col min="11013" max="11013" width="7.42578125" style="404" customWidth="1"/>
    <col min="11014" max="11014" width="12.7109375" style="404" customWidth="1"/>
    <col min="11015" max="11015" width="5.85546875" style="404" customWidth="1"/>
    <col min="11016" max="11016" width="12.42578125" style="404" customWidth="1"/>
    <col min="11017" max="11017" width="6" style="404" customWidth="1"/>
    <col min="11018" max="11019" width="10.28515625" style="404" customWidth="1"/>
    <col min="11020" max="11020" width="13.5703125" style="404" customWidth="1"/>
    <col min="11021" max="11023" width="10.28515625" style="404" customWidth="1"/>
    <col min="11024" max="11024" width="12.5703125" style="404" customWidth="1"/>
    <col min="11025" max="11028" width="10.28515625" style="404" customWidth="1"/>
    <col min="11029" max="11029" width="12.28515625" style="404" customWidth="1"/>
    <col min="11030" max="11030" width="14.28515625" style="404" customWidth="1"/>
    <col min="11031" max="11031" width="7.28515625" style="404" customWidth="1"/>
    <col min="11032" max="11032" width="14.5703125" style="404" customWidth="1"/>
    <col min="11033" max="11033" width="5.42578125" style="404" customWidth="1"/>
    <col min="11034" max="11034" width="15.140625" style="404" customWidth="1"/>
    <col min="11035" max="11035" width="13.5703125" style="404" customWidth="1"/>
    <col min="11036" max="11036" width="14.85546875" style="404" customWidth="1"/>
    <col min="11037" max="11037" width="18.5703125" style="404" customWidth="1"/>
    <col min="11038" max="11038" width="17.42578125" style="404" customWidth="1"/>
    <col min="11039" max="11039" width="15.85546875" style="404" customWidth="1"/>
    <col min="11040" max="11264" width="9.140625" style="404"/>
    <col min="11265" max="11265" width="26.140625" style="404" customWidth="1"/>
    <col min="11266" max="11266" width="11.42578125" style="404" customWidth="1"/>
    <col min="11267" max="11267" width="14.5703125" style="404" customWidth="1"/>
    <col min="11268" max="11268" width="17" style="404" customWidth="1"/>
    <col min="11269" max="11269" width="7.42578125" style="404" customWidth="1"/>
    <col min="11270" max="11270" width="12.7109375" style="404" customWidth="1"/>
    <col min="11271" max="11271" width="5.85546875" style="404" customWidth="1"/>
    <col min="11272" max="11272" width="12.42578125" style="404" customWidth="1"/>
    <col min="11273" max="11273" width="6" style="404" customWidth="1"/>
    <col min="11274" max="11275" width="10.28515625" style="404" customWidth="1"/>
    <col min="11276" max="11276" width="13.5703125" style="404" customWidth="1"/>
    <col min="11277" max="11279" width="10.28515625" style="404" customWidth="1"/>
    <col min="11280" max="11280" width="12.5703125" style="404" customWidth="1"/>
    <col min="11281" max="11284" width="10.28515625" style="404" customWidth="1"/>
    <col min="11285" max="11285" width="12.28515625" style="404" customWidth="1"/>
    <col min="11286" max="11286" width="14.28515625" style="404" customWidth="1"/>
    <col min="11287" max="11287" width="7.28515625" style="404" customWidth="1"/>
    <col min="11288" max="11288" width="14.5703125" style="404" customWidth="1"/>
    <col min="11289" max="11289" width="5.42578125" style="404" customWidth="1"/>
    <col min="11290" max="11290" width="15.140625" style="404" customWidth="1"/>
    <col min="11291" max="11291" width="13.5703125" style="404" customWidth="1"/>
    <col min="11292" max="11292" width="14.85546875" style="404" customWidth="1"/>
    <col min="11293" max="11293" width="18.5703125" style="404" customWidth="1"/>
    <col min="11294" max="11294" width="17.42578125" style="404" customWidth="1"/>
    <col min="11295" max="11295" width="15.85546875" style="404" customWidth="1"/>
    <col min="11296" max="11520" width="9.140625" style="404"/>
    <col min="11521" max="11521" width="26.140625" style="404" customWidth="1"/>
    <col min="11522" max="11522" width="11.42578125" style="404" customWidth="1"/>
    <col min="11523" max="11523" width="14.5703125" style="404" customWidth="1"/>
    <col min="11524" max="11524" width="17" style="404" customWidth="1"/>
    <col min="11525" max="11525" width="7.42578125" style="404" customWidth="1"/>
    <col min="11526" max="11526" width="12.7109375" style="404" customWidth="1"/>
    <col min="11527" max="11527" width="5.85546875" style="404" customWidth="1"/>
    <col min="11528" max="11528" width="12.42578125" style="404" customWidth="1"/>
    <col min="11529" max="11529" width="6" style="404" customWidth="1"/>
    <col min="11530" max="11531" width="10.28515625" style="404" customWidth="1"/>
    <col min="11532" max="11532" width="13.5703125" style="404" customWidth="1"/>
    <col min="11533" max="11535" width="10.28515625" style="404" customWidth="1"/>
    <col min="11536" max="11536" width="12.5703125" style="404" customWidth="1"/>
    <col min="11537" max="11540" width="10.28515625" style="404" customWidth="1"/>
    <col min="11541" max="11541" width="12.28515625" style="404" customWidth="1"/>
    <col min="11542" max="11542" width="14.28515625" style="404" customWidth="1"/>
    <col min="11543" max="11543" width="7.28515625" style="404" customWidth="1"/>
    <col min="11544" max="11544" width="14.5703125" style="404" customWidth="1"/>
    <col min="11545" max="11545" width="5.42578125" style="404" customWidth="1"/>
    <col min="11546" max="11546" width="15.140625" style="404" customWidth="1"/>
    <col min="11547" max="11547" width="13.5703125" style="404" customWidth="1"/>
    <col min="11548" max="11548" width="14.85546875" style="404" customWidth="1"/>
    <col min="11549" max="11549" width="18.5703125" style="404" customWidth="1"/>
    <col min="11550" max="11550" width="17.42578125" style="404" customWidth="1"/>
    <col min="11551" max="11551" width="15.85546875" style="404" customWidth="1"/>
    <col min="11552" max="11776" width="9.140625" style="404"/>
    <col min="11777" max="11777" width="26.140625" style="404" customWidth="1"/>
    <col min="11778" max="11778" width="11.42578125" style="404" customWidth="1"/>
    <col min="11779" max="11779" width="14.5703125" style="404" customWidth="1"/>
    <col min="11780" max="11780" width="17" style="404" customWidth="1"/>
    <col min="11781" max="11781" width="7.42578125" style="404" customWidth="1"/>
    <col min="11782" max="11782" width="12.7109375" style="404" customWidth="1"/>
    <col min="11783" max="11783" width="5.85546875" style="404" customWidth="1"/>
    <col min="11784" max="11784" width="12.42578125" style="404" customWidth="1"/>
    <col min="11785" max="11785" width="6" style="404" customWidth="1"/>
    <col min="11786" max="11787" width="10.28515625" style="404" customWidth="1"/>
    <col min="11788" max="11788" width="13.5703125" style="404" customWidth="1"/>
    <col min="11789" max="11791" width="10.28515625" style="404" customWidth="1"/>
    <col min="11792" max="11792" width="12.5703125" style="404" customWidth="1"/>
    <col min="11793" max="11796" width="10.28515625" style="404" customWidth="1"/>
    <col min="11797" max="11797" width="12.28515625" style="404" customWidth="1"/>
    <col min="11798" max="11798" width="14.28515625" style="404" customWidth="1"/>
    <col min="11799" max="11799" width="7.28515625" style="404" customWidth="1"/>
    <col min="11800" max="11800" width="14.5703125" style="404" customWidth="1"/>
    <col min="11801" max="11801" width="5.42578125" style="404" customWidth="1"/>
    <col min="11802" max="11802" width="15.140625" style="404" customWidth="1"/>
    <col min="11803" max="11803" width="13.5703125" style="404" customWidth="1"/>
    <col min="11804" max="11804" width="14.85546875" style="404" customWidth="1"/>
    <col min="11805" max="11805" width="18.5703125" style="404" customWidth="1"/>
    <col min="11806" max="11806" width="17.42578125" style="404" customWidth="1"/>
    <col min="11807" max="11807" width="15.85546875" style="404" customWidth="1"/>
    <col min="11808" max="12032" width="9.140625" style="404"/>
    <col min="12033" max="12033" width="26.140625" style="404" customWidth="1"/>
    <col min="12034" max="12034" width="11.42578125" style="404" customWidth="1"/>
    <col min="12035" max="12035" width="14.5703125" style="404" customWidth="1"/>
    <col min="12036" max="12036" width="17" style="404" customWidth="1"/>
    <col min="12037" max="12037" width="7.42578125" style="404" customWidth="1"/>
    <col min="12038" max="12038" width="12.7109375" style="404" customWidth="1"/>
    <col min="12039" max="12039" width="5.85546875" style="404" customWidth="1"/>
    <col min="12040" max="12040" width="12.42578125" style="404" customWidth="1"/>
    <col min="12041" max="12041" width="6" style="404" customWidth="1"/>
    <col min="12042" max="12043" width="10.28515625" style="404" customWidth="1"/>
    <col min="12044" max="12044" width="13.5703125" style="404" customWidth="1"/>
    <col min="12045" max="12047" width="10.28515625" style="404" customWidth="1"/>
    <col min="12048" max="12048" width="12.5703125" style="404" customWidth="1"/>
    <col min="12049" max="12052" width="10.28515625" style="404" customWidth="1"/>
    <col min="12053" max="12053" width="12.28515625" style="404" customWidth="1"/>
    <col min="12054" max="12054" width="14.28515625" style="404" customWidth="1"/>
    <col min="12055" max="12055" width="7.28515625" style="404" customWidth="1"/>
    <col min="12056" max="12056" width="14.5703125" style="404" customWidth="1"/>
    <col min="12057" max="12057" width="5.42578125" style="404" customWidth="1"/>
    <col min="12058" max="12058" width="15.140625" style="404" customWidth="1"/>
    <col min="12059" max="12059" width="13.5703125" style="404" customWidth="1"/>
    <col min="12060" max="12060" width="14.85546875" style="404" customWidth="1"/>
    <col min="12061" max="12061" width="18.5703125" style="404" customWidth="1"/>
    <col min="12062" max="12062" width="17.42578125" style="404" customWidth="1"/>
    <col min="12063" max="12063" width="15.85546875" style="404" customWidth="1"/>
    <col min="12064" max="12288" width="9.140625" style="404"/>
    <col min="12289" max="12289" width="26.140625" style="404" customWidth="1"/>
    <col min="12290" max="12290" width="11.42578125" style="404" customWidth="1"/>
    <col min="12291" max="12291" width="14.5703125" style="404" customWidth="1"/>
    <col min="12292" max="12292" width="17" style="404" customWidth="1"/>
    <col min="12293" max="12293" width="7.42578125" style="404" customWidth="1"/>
    <col min="12294" max="12294" width="12.7109375" style="404" customWidth="1"/>
    <col min="12295" max="12295" width="5.85546875" style="404" customWidth="1"/>
    <col min="12296" max="12296" width="12.42578125" style="404" customWidth="1"/>
    <col min="12297" max="12297" width="6" style="404" customWidth="1"/>
    <col min="12298" max="12299" width="10.28515625" style="404" customWidth="1"/>
    <col min="12300" max="12300" width="13.5703125" style="404" customWidth="1"/>
    <col min="12301" max="12303" width="10.28515625" style="404" customWidth="1"/>
    <col min="12304" max="12304" width="12.5703125" style="404" customWidth="1"/>
    <col min="12305" max="12308" width="10.28515625" style="404" customWidth="1"/>
    <col min="12309" max="12309" width="12.28515625" style="404" customWidth="1"/>
    <col min="12310" max="12310" width="14.28515625" style="404" customWidth="1"/>
    <col min="12311" max="12311" width="7.28515625" style="404" customWidth="1"/>
    <col min="12312" max="12312" width="14.5703125" style="404" customWidth="1"/>
    <col min="12313" max="12313" width="5.42578125" style="404" customWidth="1"/>
    <col min="12314" max="12314" width="15.140625" style="404" customWidth="1"/>
    <col min="12315" max="12315" width="13.5703125" style="404" customWidth="1"/>
    <col min="12316" max="12316" width="14.85546875" style="404" customWidth="1"/>
    <col min="12317" max="12317" width="18.5703125" style="404" customWidth="1"/>
    <col min="12318" max="12318" width="17.42578125" style="404" customWidth="1"/>
    <col min="12319" max="12319" width="15.85546875" style="404" customWidth="1"/>
    <col min="12320" max="12544" width="9.140625" style="404"/>
    <col min="12545" max="12545" width="26.140625" style="404" customWidth="1"/>
    <col min="12546" max="12546" width="11.42578125" style="404" customWidth="1"/>
    <col min="12547" max="12547" width="14.5703125" style="404" customWidth="1"/>
    <col min="12548" max="12548" width="17" style="404" customWidth="1"/>
    <col min="12549" max="12549" width="7.42578125" style="404" customWidth="1"/>
    <col min="12550" max="12550" width="12.7109375" style="404" customWidth="1"/>
    <col min="12551" max="12551" width="5.85546875" style="404" customWidth="1"/>
    <col min="12552" max="12552" width="12.42578125" style="404" customWidth="1"/>
    <col min="12553" max="12553" width="6" style="404" customWidth="1"/>
    <col min="12554" max="12555" width="10.28515625" style="404" customWidth="1"/>
    <col min="12556" max="12556" width="13.5703125" style="404" customWidth="1"/>
    <col min="12557" max="12559" width="10.28515625" style="404" customWidth="1"/>
    <col min="12560" max="12560" width="12.5703125" style="404" customWidth="1"/>
    <col min="12561" max="12564" width="10.28515625" style="404" customWidth="1"/>
    <col min="12565" max="12565" width="12.28515625" style="404" customWidth="1"/>
    <col min="12566" max="12566" width="14.28515625" style="404" customWidth="1"/>
    <col min="12567" max="12567" width="7.28515625" style="404" customWidth="1"/>
    <col min="12568" max="12568" width="14.5703125" style="404" customWidth="1"/>
    <col min="12569" max="12569" width="5.42578125" style="404" customWidth="1"/>
    <col min="12570" max="12570" width="15.140625" style="404" customWidth="1"/>
    <col min="12571" max="12571" width="13.5703125" style="404" customWidth="1"/>
    <col min="12572" max="12572" width="14.85546875" style="404" customWidth="1"/>
    <col min="12573" max="12573" width="18.5703125" style="404" customWidth="1"/>
    <col min="12574" max="12574" width="17.42578125" style="404" customWidth="1"/>
    <col min="12575" max="12575" width="15.85546875" style="404" customWidth="1"/>
    <col min="12576" max="12800" width="9.140625" style="404"/>
    <col min="12801" max="12801" width="26.140625" style="404" customWidth="1"/>
    <col min="12802" max="12802" width="11.42578125" style="404" customWidth="1"/>
    <col min="12803" max="12803" width="14.5703125" style="404" customWidth="1"/>
    <col min="12804" max="12804" width="17" style="404" customWidth="1"/>
    <col min="12805" max="12805" width="7.42578125" style="404" customWidth="1"/>
    <col min="12806" max="12806" width="12.7109375" style="404" customWidth="1"/>
    <col min="12807" max="12807" width="5.85546875" style="404" customWidth="1"/>
    <col min="12808" max="12808" width="12.42578125" style="404" customWidth="1"/>
    <col min="12809" max="12809" width="6" style="404" customWidth="1"/>
    <col min="12810" max="12811" width="10.28515625" style="404" customWidth="1"/>
    <col min="12812" max="12812" width="13.5703125" style="404" customWidth="1"/>
    <col min="12813" max="12815" width="10.28515625" style="404" customWidth="1"/>
    <col min="12816" max="12816" width="12.5703125" style="404" customWidth="1"/>
    <col min="12817" max="12820" width="10.28515625" style="404" customWidth="1"/>
    <col min="12821" max="12821" width="12.28515625" style="404" customWidth="1"/>
    <col min="12822" max="12822" width="14.28515625" style="404" customWidth="1"/>
    <col min="12823" max="12823" width="7.28515625" style="404" customWidth="1"/>
    <col min="12824" max="12824" width="14.5703125" style="404" customWidth="1"/>
    <col min="12825" max="12825" width="5.42578125" style="404" customWidth="1"/>
    <col min="12826" max="12826" width="15.140625" style="404" customWidth="1"/>
    <col min="12827" max="12827" width="13.5703125" style="404" customWidth="1"/>
    <col min="12828" max="12828" width="14.85546875" style="404" customWidth="1"/>
    <col min="12829" max="12829" width="18.5703125" style="404" customWidth="1"/>
    <col min="12830" max="12830" width="17.42578125" style="404" customWidth="1"/>
    <col min="12831" max="12831" width="15.85546875" style="404" customWidth="1"/>
    <col min="12832" max="13056" width="9.140625" style="404"/>
    <col min="13057" max="13057" width="26.140625" style="404" customWidth="1"/>
    <col min="13058" max="13058" width="11.42578125" style="404" customWidth="1"/>
    <col min="13059" max="13059" width="14.5703125" style="404" customWidth="1"/>
    <col min="13060" max="13060" width="17" style="404" customWidth="1"/>
    <col min="13061" max="13061" width="7.42578125" style="404" customWidth="1"/>
    <col min="13062" max="13062" width="12.7109375" style="404" customWidth="1"/>
    <col min="13063" max="13063" width="5.85546875" style="404" customWidth="1"/>
    <col min="13064" max="13064" width="12.42578125" style="404" customWidth="1"/>
    <col min="13065" max="13065" width="6" style="404" customWidth="1"/>
    <col min="13066" max="13067" width="10.28515625" style="404" customWidth="1"/>
    <col min="13068" max="13068" width="13.5703125" style="404" customWidth="1"/>
    <col min="13069" max="13071" width="10.28515625" style="404" customWidth="1"/>
    <col min="13072" max="13072" width="12.5703125" style="404" customWidth="1"/>
    <col min="13073" max="13076" width="10.28515625" style="404" customWidth="1"/>
    <col min="13077" max="13077" width="12.28515625" style="404" customWidth="1"/>
    <col min="13078" max="13078" width="14.28515625" style="404" customWidth="1"/>
    <col min="13079" max="13079" width="7.28515625" style="404" customWidth="1"/>
    <col min="13080" max="13080" width="14.5703125" style="404" customWidth="1"/>
    <col min="13081" max="13081" width="5.42578125" style="404" customWidth="1"/>
    <col min="13082" max="13082" width="15.140625" style="404" customWidth="1"/>
    <col min="13083" max="13083" width="13.5703125" style="404" customWidth="1"/>
    <col min="13084" max="13084" width="14.85546875" style="404" customWidth="1"/>
    <col min="13085" max="13085" width="18.5703125" style="404" customWidth="1"/>
    <col min="13086" max="13086" width="17.42578125" style="404" customWidth="1"/>
    <col min="13087" max="13087" width="15.85546875" style="404" customWidth="1"/>
    <col min="13088" max="13312" width="9.140625" style="404"/>
    <col min="13313" max="13313" width="26.140625" style="404" customWidth="1"/>
    <col min="13314" max="13314" width="11.42578125" style="404" customWidth="1"/>
    <col min="13315" max="13315" width="14.5703125" style="404" customWidth="1"/>
    <col min="13316" max="13316" width="17" style="404" customWidth="1"/>
    <col min="13317" max="13317" width="7.42578125" style="404" customWidth="1"/>
    <col min="13318" max="13318" width="12.7109375" style="404" customWidth="1"/>
    <col min="13319" max="13319" width="5.85546875" style="404" customWidth="1"/>
    <col min="13320" max="13320" width="12.42578125" style="404" customWidth="1"/>
    <col min="13321" max="13321" width="6" style="404" customWidth="1"/>
    <col min="13322" max="13323" width="10.28515625" style="404" customWidth="1"/>
    <col min="13324" max="13324" width="13.5703125" style="404" customWidth="1"/>
    <col min="13325" max="13327" width="10.28515625" style="404" customWidth="1"/>
    <col min="13328" max="13328" width="12.5703125" style="404" customWidth="1"/>
    <col min="13329" max="13332" width="10.28515625" style="404" customWidth="1"/>
    <col min="13333" max="13333" width="12.28515625" style="404" customWidth="1"/>
    <col min="13334" max="13334" width="14.28515625" style="404" customWidth="1"/>
    <col min="13335" max="13335" width="7.28515625" style="404" customWidth="1"/>
    <col min="13336" max="13336" width="14.5703125" style="404" customWidth="1"/>
    <col min="13337" max="13337" width="5.42578125" style="404" customWidth="1"/>
    <col min="13338" max="13338" width="15.140625" style="404" customWidth="1"/>
    <col min="13339" max="13339" width="13.5703125" style="404" customWidth="1"/>
    <col min="13340" max="13340" width="14.85546875" style="404" customWidth="1"/>
    <col min="13341" max="13341" width="18.5703125" style="404" customWidth="1"/>
    <col min="13342" max="13342" width="17.42578125" style="404" customWidth="1"/>
    <col min="13343" max="13343" width="15.85546875" style="404" customWidth="1"/>
    <col min="13344" max="13568" width="9.140625" style="404"/>
    <col min="13569" max="13569" width="26.140625" style="404" customWidth="1"/>
    <col min="13570" max="13570" width="11.42578125" style="404" customWidth="1"/>
    <col min="13571" max="13571" width="14.5703125" style="404" customWidth="1"/>
    <col min="13572" max="13572" width="17" style="404" customWidth="1"/>
    <col min="13573" max="13573" width="7.42578125" style="404" customWidth="1"/>
    <col min="13574" max="13574" width="12.7109375" style="404" customWidth="1"/>
    <col min="13575" max="13575" width="5.85546875" style="404" customWidth="1"/>
    <col min="13576" max="13576" width="12.42578125" style="404" customWidth="1"/>
    <col min="13577" max="13577" width="6" style="404" customWidth="1"/>
    <col min="13578" max="13579" width="10.28515625" style="404" customWidth="1"/>
    <col min="13580" max="13580" width="13.5703125" style="404" customWidth="1"/>
    <col min="13581" max="13583" width="10.28515625" style="404" customWidth="1"/>
    <col min="13584" max="13584" width="12.5703125" style="404" customWidth="1"/>
    <col min="13585" max="13588" width="10.28515625" style="404" customWidth="1"/>
    <col min="13589" max="13589" width="12.28515625" style="404" customWidth="1"/>
    <col min="13590" max="13590" width="14.28515625" style="404" customWidth="1"/>
    <col min="13591" max="13591" width="7.28515625" style="404" customWidth="1"/>
    <col min="13592" max="13592" width="14.5703125" style="404" customWidth="1"/>
    <col min="13593" max="13593" width="5.42578125" style="404" customWidth="1"/>
    <col min="13594" max="13594" width="15.140625" style="404" customWidth="1"/>
    <col min="13595" max="13595" width="13.5703125" style="404" customWidth="1"/>
    <col min="13596" max="13596" width="14.85546875" style="404" customWidth="1"/>
    <col min="13597" max="13597" width="18.5703125" style="404" customWidth="1"/>
    <col min="13598" max="13598" width="17.42578125" style="404" customWidth="1"/>
    <col min="13599" max="13599" width="15.85546875" style="404" customWidth="1"/>
    <col min="13600" max="13824" width="9.140625" style="404"/>
    <col min="13825" max="13825" width="26.140625" style="404" customWidth="1"/>
    <col min="13826" max="13826" width="11.42578125" style="404" customWidth="1"/>
    <col min="13827" max="13827" width="14.5703125" style="404" customWidth="1"/>
    <col min="13828" max="13828" width="17" style="404" customWidth="1"/>
    <col min="13829" max="13829" width="7.42578125" style="404" customWidth="1"/>
    <col min="13830" max="13830" width="12.7109375" style="404" customWidth="1"/>
    <col min="13831" max="13831" width="5.85546875" style="404" customWidth="1"/>
    <col min="13832" max="13832" width="12.42578125" style="404" customWidth="1"/>
    <col min="13833" max="13833" width="6" style="404" customWidth="1"/>
    <col min="13834" max="13835" width="10.28515625" style="404" customWidth="1"/>
    <col min="13836" max="13836" width="13.5703125" style="404" customWidth="1"/>
    <col min="13837" max="13839" width="10.28515625" style="404" customWidth="1"/>
    <col min="13840" max="13840" width="12.5703125" style="404" customWidth="1"/>
    <col min="13841" max="13844" width="10.28515625" style="404" customWidth="1"/>
    <col min="13845" max="13845" width="12.28515625" style="404" customWidth="1"/>
    <col min="13846" max="13846" width="14.28515625" style="404" customWidth="1"/>
    <col min="13847" max="13847" width="7.28515625" style="404" customWidth="1"/>
    <col min="13848" max="13848" width="14.5703125" style="404" customWidth="1"/>
    <col min="13849" max="13849" width="5.42578125" style="404" customWidth="1"/>
    <col min="13850" max="13850" width="15.140625" style="404" customWidth="1"/>
    <col min="13851" max="13851" width="13.5703125" style="404" customWidth="1"/>
    <col min="13852" max="13852" width="14.85546875" style="404" customWidth="1"/>
    <col min="13853" max="13853" width="18.5703125" style="404" customWidth="1"/>
    <col min="13854" max="13854" width="17.42578125" style="404" customWidth="1"/>
    <col min="13855" max="13855" width="15.85546875" style="404" customWidth="1"/>
    <col min="13856" max="14080" width="9.140625" style="404"/>
    <col min="14081" max="14081" width="26.140625" style="404" customWidth="1"/>
    <col min="14082" max="14082" width="11.42578125" style="404" customWidth="1"/>
    <col min="14083" max="14083" width="14.5703125" style="404" customWidth="1"/>
    <col min="14084" max="14084" width="17" style="404" customWidth="1"/>
    <col min="14085" max="14085" width="7.42578125" style="404" customWidth="1"/>
    <col min="14086" max="14086" width="12.7109375" style="404" customWidth="1"/>
    <col min="14087" max="14087" width="5.85546875" style="404" customWidth="1"/>
    <col min="14088" max="14088" width="12.42578125" style="404" customWidth="1"/>
    <col min="14089" max="14089" width="6" style="404" customWidth="1"/>
    <col min="14090" max="14091" width="10.28515625" style="404" customWidth="1"/>
    <col min="14092" max="14092" width="13.5703125" style="404" customWidth="1"/>
    <col min="14093" max="14095" width="10.28515625" style="404" customWidth="1"/>
    <col min="14096" max="14096" width="12.5703125" style="404" customWidth="1"/>
    <col min="14097" max="14100" width="10.28515625" style="404" customWidth="1"/>
    <col min="14101" max="14101" width="12.28515625" style="404" customWidth="1"/>
    <col min="14102" max="14102" width="14.28515625" style="404" customWidth="1"/>
    <col min="14103" max="14103" width="7.28515625" style="404" customWidth="1"/>
    <col min="14104" max="14104" width="14.5703125" style="404" customWidth="1"/>
    <col min="14105" max="14105" width="5.42578125" style="404" customWidth="1"/>
    <col min="14106" max="14106" width="15.140625" style="404" customWidth="1"/>
    <col min="14107" max="14107" width="13.5703125" style="404" customWidth="1"/>
    <col min="14108" max="14108" width="14.85546875" style="404" customWidth="1"/>
    <col min="14109" max="14109" width="18.5703125" style="404" customWidth="1"/>
    <col min="14110" max="14110" width="17.42578125" style="404" customWidth="1"/>
    <col min="14111" max="14111" width="15.85546875" style="404" customWidth="1"/>
    <col min="14112" max="14336" width="9.140625" style="404"/>
    <col min="14337" max="14337" width="26.140625" style="404" customWidth="1"/>
    <col min="14338" max="14338" width="11.42578125" style="404" customWidth="1"/>
    <col min="14339" max="14339" width="14.5703125" style="404" customWidth="1"/>
    <col min="14340" max="14340" width="17" style="404" customWidth="1"/>
    <col min="14341" max="14341" width="7.42578125" style="404" customWidth="1"/>
    <col min="14342" max="14342" width="12.7109375" style="404" customWidth="1"/>
    <col min="14343" max="14343" width="5.85546875" style="404" customWidth="1"/>
    <col min="14344" max="14344" width="12.42578125" style="404" customWidth="1"/>
    <col min="14345" max="14345" width="6" style="404" customWidth="1"/>
    <col min="14346" max="14347" width="10.28515625" style="404" customWidth="1"/>
    <col min="14348" max="14348" width="13.5703125" style="404" customWidth="1"/>
    <col min="14349" max="14351" width="10.28515625" style="404" customWidth="1"/>
    <col min="14352" max="14352" width="12.5703125" style="404" customWidth="1"/>
    <col min="14353" max="14356" width="10.28515625" style="404" customWidth="1"/>
    <col min="14357" max="14357" width="12.28515625" style="404" customWidth="1"/>
    <col min="14358" max="14358" width="14.28515625" style="404" customWidth="1"/>
    <col min="14359" max="14359" width="7.28515625" style="404" customWidth="1"/>
    <col min="14360" max="14360" width="14.5703125" style="404" customWidth="1"/>
    <col min="14361" max="14361" width="5.42578125" style="404" customWidth="1"/>
    <col min="14362" max="14362" width="15.140625" style="404" customWidth="1"/>
    <col min="14363" max="14363" width="13.5703125" style="404" customWidth="1"/>
    <col min="14364" max="14364" width="14.85546875" style="404" customWidth="1"/>
    <col min="14365" max="14365" width="18.5703125" style="404" customWidth="1"/>
    <col min="14366" max="14366" width="17.42578125" style="404" customWidth="1"/>
    <col min="14367" max="14367" width="15.85546875" style="404" customWidth="1"/>
    <col min="14368" max="14592" width="9.140625" style="404"/>
    <col min="14593" max="14593" width="26.140625" style="404" customWidth="1"/>
    <col min="14594" max="14594" width="11.42578125" style="404" customWidth="1"/>
    <col min="14595" max="14595" width="14.5703125" style="404" customWidth="1"/>
    <col min="14596" max="14596" width="17" style="404" customWidth="1"/>
    <col min="14597" max="14597" width="7.42578125" style="404" customWidth="1"/>
    <col min="14598" max="14598" width="12.7109375" style="404" customWidth="1"/>
    <col min="14599" max="14599" width="5.85546875" style="404" customWidth="1"/>
    <col min="14600" max="14600" width="12.42578125" style="404" customWidth="1"/>
    <col min="14601" max="14601" width="6" style="404" customWidth="1"/>
    <col min="14602" max="14603" width="10.28515625" style="404" customWidth="1"/>
    <col min="14604" max="14604" width="13.5703125" style="404" customWidth="1"/>
    <col min="14605" max="14607" width="10.28515625" style="404" customWidth="1"/>
    <col min="14608" max="14608" width="12.5703125" style="404" customWidth="1"/>
    <col min="14609" max="14612" width="10.28515625" style="404" customWidth="1"/>
    <col min="14613" max="14613" width="12.28515625" style="404" customWidth="1"/>
    <col min="14614" max="14614" width="14.28515625" style="404" customWidth="1"/>
    <col min="14615" max="14615" width="7.28515625" style="404" customWidth="1"/>
    <col min="14616" max="14616" width="14.5703125" style="404" customWidth="1"/>
    <col min="14617" max="14617" width="5.42578125" style="404" customWidth="1"/>
    <col min="14618" max="14618" width="15.140625" style="404" customWidth="1"/>
    <col min="14619" max="14619" width="13.5703125" style="404" customWidth="1"/>
    <col min="14620" max="14620" width="14.85546875" style="404" customWidth="1"/>
    <col min="14621" max="14621" width="18.5703125" style="404" customWidth="1"/>
    <col min="14622" max="14622" width="17.42578125" style="404" customWidth="1"/>
    <col min="14623" max="14623" width="15.85546875" style="404" customWidth="1"/>
    <col min="14624" max="14848" width="9.140625" style="404"/>
    <col min="14849" max="14849" width="26.140625" style="404" customWidth="1"/>
    <col min="14850" max="14850" width="11.42578125" style="404" customWidth="1"/>
    <col min="14851" max="14851" width="14.5703125" style="404" customWidth="1"/>
    <col min="14852" max="14852" width="17" style="404" customWidth="1"/>
    <col min="14853" max="14853" width="7.42578125" style="404" customWidth="1"/>
    <col min="14854" max="14854" width="12.7109375" style="404" customWidth="1"/>
    <col min="14855" max="14855" width="5.85546875" style="404" customWidth="1"/>
    <col min="14856" max="14856" width="12.42578125" style="404" customWidth="1"/>
    <col min="14857" max="14857" width="6" style="404" customWidth="1"/>
    <col min="14858" max="14859" width="10.28515625" style="404" customWidth="1"/>
    <col min="14860" max="14860" width="13.5703125" style="404" customWidth="1"/>
    <col min="14861" max="14863" width="10.28515625" style="404" customWidth="1"/>
    <col min="14864" max="14864" width="12.5703125" style="404" customWidth="1"/>
    <col min="14865" max="14868" width="10.28515625" style="404" customWidth="1"/>
    <col min="14869" max="14869" width="12.28515625" style="404" customWidth="1"/>
    <col min="14870" max="14870" width="14.28515625" style="404" customWidth="1"/>
    <col min="14871" max="14871" width="7.28515625" style="404" customWidth="1"/>
    <col min="14872" max="14872" width="14.5703125" style="404" customWidth="1"/>
    <col min="14873" max="14873" width="5.42578125" style="404" customWidth="1"/>
    <col min="14874" max="14874" width="15.140625" style="404" customWidth="1"/>
    <col min="14875" max="14875" width="13.5703125" style="404" customWidth="1"/>
    <col min="14876" max="14876" width="14.85546875" style="404" customWidth="1"/>
    <col min="14877" max="14877" width="18.5703125" style="404" customWidth="1"/>
    <col min="14878" max="14878" width="17.42578125" style="404" customWidth="1"/>
    <col min="14879" max="14879" width="15.85546875" style="404" customWidth="1"/>
    <col min="14880" max="15104" width="9.140625" style="404"/>
    <col min="15105" max="15105" width="26.140625" style="404" customWidth="1"/>
    <col min="15106" max="15106" width="11.42578125" style="404" customWidth="1"/>
    <col min="15107" max="15107" width="14.5703125" style="404" customWidth="1"/>
    <col min="15108" max="15108" width="17" style="404" customWidth="1"/>
    <col min="15109" max="15109" width="7.42578125" style="404" customWidth="1"/>
    <col min="15110" max="15110" width="12.7109375" style="404" customWidth="1"/>
    <col min="15111" max="15111" width="5.85546875" style="404" customWidth="1"/>
    <col min="15112" max="15112" width="12.42578125" style="404" customWidth="1"/>
    <col min="15113" max="15113" width="6" style="404" customWidth="1"/>
    <col min="15114" max="15115" width="10.28515625" style="404" customWidth="1"/>
    <col min="15116" max="15116" width="13.5703125" style="404" customWidth="1"/>
    <col min="15117" max="15119" width="10.28515625" style="404" customWidth="1"/>
    <col min="15120" max="15120" width="12.5703125" style="404" customWidth="1"/>
    <col min="15121" max="15124" width="10.28515625" style="404" customWidth="1"/>
    <col min="15125" max="15125" width="12.28515625" style="404" customWidth="1"/>
    <col min="15126" max="15126" width="14.28515625" style="404" customWidth="1"/>
    <col min="15127" max="15127" width="7.28515625" style="404" customWidth="1"/>
    <col min="15128" max="15128" width="14.5703125" style="404" customWidth="1"/>
    <col min="15129" max="15129" width="5.42578125" style="404" customWidth="1"/>
    <col min="15130" max="15130" width="15.140625" style="404" customWidth="1"/>
    <col min="15131" max="15131" width="13.5703125" style="404" customWidth="1"/>
    <col min="15132" max="15132" width="14.85546875" style="404" customWidth="1"/>
    <col min="15133" max="15133" width="18.5703125" style="404" customWidth="1"/>
    <col min="15134" max="15134" width="17.42578125" style="404" customWidth="1"/>
    <col min="15135" max="15135" width="15.85546875" style="404" customWidth="1"/>
    <col min="15136" max="15360" width="9.140625" style="404"/>
    <col min="15361" max="15361" width="26.140625" style="404" customWidth="1"/>
    <col min="15362" max="15362" width="11.42578125" style="404" customWidth="1"/>
    <col min="15363" max="15363" width="14.5703125" style="404" customWidth="1"/>
    <col min="15364" max="15364" width="17" style="404" customWidth="1"/>
    <col min="15365" max="15365" width="7.42578125" style="404" customWidth="1"/>
    <col min="15366" max="15366" width="12.7109375" style="404" customWidth="1"/>
    <col min="15367" max="15367" width="5.85546875" style="404" customWidth="1"/>
    <col min="15368" max="15368" width="12.42578125" style="404" customWidth="1"/>
    <col min="15369" max="15369" width="6" style="404" customWidth="1"/>
    <col min="15370" max="15371" width="10.28515625" style="404" customWidth="1"/>
    <col min="15372" max="15372" width="13.5703125" style="404" customWidth="1"/>
    <col min="15373" max="15375" width="10.28515625" style="404" customWidth="1"/>
    <col min="15376" max="15376" width="12.5703125" style="404" customWidth="1"/>
    <col min="15377" max="15380" width="10.28515625" style="404" customWidth="1"/>
    <col min="15381" max="15381" width="12.28515625" style="404" customWidth="1"/>
    <col min="15382" max="15382" width="14.28515625" style="404" customWidth="1"/>
    <col min="15383" max="15383" width="7.28515625" style="404" customWidth="1"/>
    <col min="15384" max="15384" width="14.5703125" style="404" customWidth="1"/>
    <col min="15385" max="15385" width="5.42578125" style="404" customWidth="1"/>
    <col min="15386" max="15386" width="15.140625" style="404" customWidth="1"/>
    <col min="15387" max="15387" width="13.5703125" style="404" customWidth="1"/>
    <col min="15388" max="15388" width="14.85546875" style="404" customWidth="1"/>
    <col min="15389" max="15389" width="18.5703125" style="404" customWidth="1"/>
    <col min="15390" max="15390" width="17.42578125" style="404" customWidth="1"/>
    <col min="15391" max="15391" width="15.85546875" style="404" customWidth="1"/>
    <col min="15392" max="15616" width="9.140625" style="404"/>
    <col min="15617" max="15617" width="26.140625" style="404" customWidth="1"/>
    <col min="15618" max="15618" width="11.42578125" style="404" customWidth="1"/>
    <col min="15619" max="15619" width="14.5703125" style="404" customWidth="1"/>
    <col min="15620" max="15620" width="17" style="404" customWidth="1"/>
    <col min="15621" max="15621" width="7.42578125" style="404" customWidth="1"/>
    <col min="15622" max="15622" width="12.7109375" style="404" customWidth="1"/>
    <col min="15623" max="15623" width="5.85546875" style="404" customWidth="1"/>
    <col min="15624" max="15624" width="12.42578125" style="404" customWidth="1"/>
    <col min="15625" max="15625" width="6" style="404" customWidth="1"/>
    <col min="15626" max="15627" width="10.28515625" style="404" customWidth="1"/>
    <col min="15628" max="15628" width="13.5703125" style="404" customWidth="1"/>
    <col min="15629" max="15631" width="10.28515625" style="404" customWidth="1"/>
    <col min="15632" max="15632" width="12.5703125" style="404" customWidth="1"/>
    <col min="15633" max="15636" width="10.28515625" style="404" customWidth="1"/>
    <col min="15637" max="15637" width="12.28515625" style="404" customWidth="1"/>
    <col min="15638" max="15638" width="14.28515625" style="404" customWidth="1"/>
    <col min="15639" max="15639" width="7.28515625" style="404" customWidth="1"/>
    <col min="15640" max="15640" width="14.5703125" style="404" customWidth="1"/>
    <col min="15641" max="15641" width="5.42578125" style="404" customWidth="1"/>
    <col min="15642" max="15642" width="15.140625" style="404" customWidth="1"/>
    <col min="15643" max="15643" width="13.5703125" style="404" customWidth="1"/>
    <col min="15644" max="15644" width="14.85546875" style="404" customWidth="1"/>
    <col min="15645" max="15645" width="18.5703125" style="404" customWidth="1"/>
    <col min="15646" max="15646" width="17.42578125" style="404" customWidth="1"/>
    <col min="15647" max="15647" width="15.85546875" style="404" customWidth="1"/>
    <col min="15648" max="15872" width="9.140625" style="404"/>
    <col min="15873" max="15873" width="26.140625" style="404" customWidth="1"/>
    <col min="15874" max="15874" width="11.42578125" style="404" customWidth="1"/>
    <col min="15875" max="15875" width="14.5703125" style="404" customWidth="1"/>
    <col min="15876" max="15876" width="17" style="404" customWidth="1"/>
    <col min="15877" max="15877" width="7.42578125" style="404" customWidth="1"/>
    <col min="15878" max="15878" width="12.7109375" style="404" customWidth="1"/>
    <col min="15879" max="15879" width="5.85546875" style="404" customWidth="1"/>
    <col min="15880" max="15880" width="12.42578125" style="404" customWidth="1"/>
    <col min="15881" max="15881" width="6" style="404" customWidth="1"/>
    <col min="15882" max="15883" width="10.28515625" style="404" customWidth="1"/>
    <col min="15884" max="15884" width="13.5703125" style="404" customWidth="1"/>
    <col min="15885" max="15887" width="10.28515625" style="404" customWidth="1"/>
    <col min="15888" max="15888" width="12.5703125" style="404" customWidth="1"/>
    <col min="15889" max="15892" width="10.28515625" style="404" customWidth="1"/>
    <col min="15893" max="15893" width="12.28515625" style="404" customWidth="1"/>
    <col min="15894" max="15894" width="14.28515625" style="404" customWidth="1"/>
    <col min="15895" max="15895" width="7.28515625" style="404" customWidth="1"/>
    <col min="15896" max="15896" width="14.5703125" style="404" customWidth="1"/>
    <col min="15897" max="15897" width="5.42578125" style="404" customWidth="1"/>
    <col min="15898" max="15898" width="15.140625" style="404" customWidth="1"/>
    <col min="15899" max="15899" width="13.5703125" style="404" customWidth="1"/>
    <col min="15900" max="15900" width="14.85546875" style="404" customWidth="1"/>
    <col min="15901" max="15901" width="18.5703125" style="404" customWidth="1"/>
    <col min="15902" max="15902" width="17.42578125" style="404" customWidth="1"/>
    <col min="15903" max="15903" width="15.85546875" style="404" customWidth="1"/>
    <col min="15904" max="16128" width="9.140625" style="404"/>
    <col min="16129" max="16129" width="26.140625" style="404" customWidth="1"/>
    <col min="16130" max="16130" width="11.42578125" style="404" customWidth="1"/>
    <col min="16131" max="16131" width="14.5703125" style="404" customWidth="1"/>
    <col min="16132" max="16132" width="17" style="404" customWidth="1"/>
    <col min="16133" max="16133" width="7.42578125" style="404" customWidth="1"/>
    <col min="16134" max="16134" width="12.7109375" style="404" customWidth="1"/>
    <col min="16135" max="16135" width="5.85546875" style="404" customWidth="1"/>
    <col min="16136" max="16136" width="12.42578125" style="404" customWidth="1"/>
    <col min="16137" max="16137" width="6" style="404" customWidth="1"/>
    <col min="16138" max="16139" width="10.28515625" style="404" customWidth="1"/>
    <col min="16140" max="16140" width="13.5703125" style="404" customWidth="1"/>
    <col min="16141" max="16143" width="10.28515625" style="404" customWidth="1"/>
    <col min="16144" max="16144" width="12.5703125" style="404" customWidth="1"/>
    <col min="16145" max="16148" width="10.28515625" style="404" customWidth="1"/>
    <col min="16149" max="16149" width="12.28515625" style="404" customWidth="1"/>
    <col min="16150" max="16150" width="14.28515625" style="404" customWidth="1"/>
    <col min="16151" max="16151" width="7.28515625" style="404" customWidth="1"/>
    <col min="16152" max="16152" width="14.5703125" style="404" customWidth="1"/>
    <col min="16153" max="16153" width="5.42578125" style="404" customWidth="1"/>
    <col min="16154" max="16154" width="15.140625" style="404" customWidth="1"/>
    <col min="16155" max="16155" width="13.5703125" style="404" customWidth="1"/>
    <col min="16156" max="16156" width="14.85546875" style="404" customWidth="1"/>
    <col min="16157" max="16157" width="18.5703125" style="404" customWidth="1"/>
    <col min="16158" max="16158" width="17.42578125" style="404" customWidth="1"/>
    <col min="16159" max="16159" width="15.85546875" style="404" customWidth="1"/>
    <col min="16160" max="16384" width="9.140625" style="404"/>
  </cols>
  <sheetData>
    <row r="2" spans="1:39" ht="15" customHeight="1" x14ac:dyDescent="0.25">
      <c r="A2" s="665" t="s">
        <v>816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403"/>
    </row>
    <row r="3" spans="1:39" ht="15" customHeight="1" x14ac:dyDescent="0.25">
      <c r="A3" s="666" t="s">
        <v>160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403"/>
    </row>
    <row r="4" spans="1:39" ht="25.5" customHeight="1" x14ac:dyDescent="0.25">
      <c r="AE4" s="405"/>
      <c r="AF4" s="405"/>
      <c r="AG4" s="405"/>
      <c r="AH4" s="405"/>
      <c r="AI4" s="405"/>
      <c r="AJ4" s="405"/>
      <c r="AK4" s="405"/>
      <c r="AL4" s="405"/>
      <c r="AM4" s="405"/>
    </row>
    <row r="5" spans="1:39" ht="45" customHeight="1" x14ac:dyDescent="0.25">
      <c r="A5" s="659" t="s">
        <v>500</v>
      </c>
      <c r="B5" s="659" t="s">
        <v>501</v>
      </c>
      <c r="C5" s="659" t="s">
        <v>502</v>
      </c>
      <c r="D5" s="659" t="s">
        <v>503</v>
      </c>
      <c r="E5" s="659" t="s">
        <v>504</v>
      </c>
      <c r="F5" s="659"/>
      <c r="G5" s="659" t="s">
        <v>505</v>
      </c>
      <c r="H5" s="659"/>
      <c r="I5" s="659" t="s">
        <v>506</v>
      </c>
      <c r="J5" s="659"/>
      <c r="K5" s="662" t="s">
        <v>507</v>
      </c>
      <c r="L5" s="663"/>
      <c r="M5" s="662" t="s">
        <v>817</v>
      </c>
      <c r="N5" s="663"/>
      <c r="O5" s="662" t="s">
        <v>818</v>
      </c>
      <c r="P5" s="663"/>
      <c r="Q5" s="662" t="s">
        <v>819</v>
      </c>
      <c r="R5" s="663"/>
      <c r="S5" s="662" t="s">
        <v>508</v>
      </c>
      <c r="T5" s="663"/>
      <c r="U5" s="406" t="s">
        <v>115</v>
      </c>
      <c r="V5" s="406" t="s">
        <v>509</v>
      </c>
      <c r="W5" s="664" t="s">
        <v>121</v>
      </c>
      <c r="X5" s="664"/>
      <c r="Y5" s="664" t="s">
        <v>161</v>
      </c>
      <c r="Z5" s="664"/>
      <c r="AA5" s="659" t="s">
        <v>510</v>
      </c>
      <c r="AB5" s="659" t="s">
        <v>122</v>
      </c>
      <c r="AC5" s="659" t="s">
        <v>511</v>
      </c>
      <c r="AE5" s="405"/>
      <c r="AF5" s="405"/>
      <c r="AG5" s="405"/>
      <c r="AH5" s="405"/>
      <c r="AI5" s="405"/>
      <c r="AJ5" s="405"/>
      <c r="AK5" s="405"/>
      <c r="AL5" s="405"/>
      <c r="AM5" s="405"/>
    </row>
    <row r="6" spans="1:39" x14ac:dyDescent="0.25">
      <c r="A6" s="659"/>
      <c r="B6" s="659"/>
      <c r="C6" s="659"/>
      <c r="D6" s="659"/>
      <c r="E6" s="407" t="s">
        <v>162</v>
      </c>
      <c r="F6" s="407" t="s">
        <v>18</v>
      </c>
      <c r="G6" s="407" t="s">
        <v>162</v>
      </c>
      <c r="H6" s="407" t="s">
        <v>18</v>
      </c>
      <c r="I6" s="407" t="s">
        <v>162</v>
      </c>
      <c r="J6" s="407" t="s">
        <v>18</v>
      </c>
      <c r="K6" s="407" t="s">
        <v>162</v>
      </c>
      <c r="L6" s="407" t="s">
        <v>18</v>
      </c>
      <c r="M6" s="407" t="s">
        <v>162</v>
      </c>
      <c r="N6" s="407" t="s">
        <v>18</v>
      </c>
      <c r="O6" s="407" t="s">
        <v>162</v>
      </c>
      <c r="P6" s="407" t="s">
        <v>18</v>
      </c>
      <c r="Q6" s="407" t="s">
        <v>162</v>
      </c>
      <c r="R6" s="407" t="s">
        <v>18</v>
      </c>
      <c r="S6" s="407" t="s">
        <v>162</v>
      </c>
      <c r="T6" s="407" t="s">
        <v>18</v>
      </c>
      <c r="U6" s="407"/>
      <c r="V6" s="407"/>
      <c r="W6" s="408" t="s">
        <v>162</v>
      </c>
      <c r="X6" s="408" t="s">
        <v>163</v>
      </c>
      <c r="Y6" s="408" t="s">
        <v>162</v>
      </c>
      <c r="Z6" s="408" t="s">
        <v>163</v>
      </c>
      <c r="AA6" s="659"/>
      <c r="AB6" s="659"/>
      <c r="AC6" s="659"/>
      <c r="AE6" s="405"/>
      <c r="AF6" s="405"/>
      <c r="AG6" s="405"/>
      <c r="AH6" s="405"/>
      <c r="AI6" s="405"/>
      <c r="AJ6" s="405"/>
      <c r="AK6" s="405"/>
      <c r="AL6" s="405"/>
      <c r="AM6" s="405"/>
    </row>
    <row r="7" spans="1:39" s="410" customFormat="1" x14ac:dyDescent="0.25">
      <c r="A7" s="660" t="s">
        <v>123</v>
      </c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405"/>
      <c r="AE7" s="409"/>
      <c r="AF7" s="409"/>
      <c r="AG7" s="409"/>
      <c r="AH7" s="409"/>
      <c r="AI7" s="409"/>
      <c r="AJ7" s="409"/>
      <c r="AK7" s="409"/>
      <c r="AL7" s="409"/>
      <c r="AM7" s="409"/>
    </row>
    <row r="8" spans="1:39" x14ac:dyDescent="0.25">
      <c r="A8" s="411" t="s">
        <v>209</v>
      </c>
      <c r="B8" s="411">
        <v>1</v>
      </c>
      <c r="C8" s="412">
        <v>29801.200000000001</v>
      </c>
      <c r="D8" s="412">
        <f>C8*B8</f>
        <v>29801.200000000001</v>
      </c>
      <c r="E8" s="411"/>
      <c r="F8" s="412">
        <f>D8*E8</f>
        <v>0</v>
      </c>
      <c r="G8" s="411"/>
      <c r="H8" s="412">
        <f>D8*G8</f>
        <v>0</v>
      </c>
      <c r="I8" s="411"/>
      <c r="J8" s="412">
        <f>D8*I8/100</f>
        <v>0</v>
      </c>
      <c r="K8" s="412"/>
      <c r="L8" s="412">
        <v>3000</v>
      </c>
      <c r="M8" s="412"/>
      <c r="N8" s="412">
        <f>D8*M8</f>
        <v>0</v>
      </c>
      <c r="O8" s="412"/>
      <c r="P8" s="412">
        <v>0</v>
      </c>
      <c r="Q8" s="412"/>
      <c r="R8" s="412">
        <f>D8*Q8</f>
        <v>0</v>
      </c>
      <c r="S8" s="412"/>
      <c r="T8" s="412"/>
      <c r="U8" s="412">
        <f>D8+F8+H8+J8+L8+N8+P8+R8+T8</f>
        <v>32801.199999999997</v>
      </c>
      <c r="V8" s="412"/>
      <c r="W8" s="411">
        <v>80</v>
      </c>
      <c r="X8" s="412">
        <f>(D8+F8+H8+J8+L8+N8+T8+P8+R8)*W8/100</f>
        <v>26240.959999999999</v>
      </c>
      <c r="Y8" s="411">
        <v>80</v>
      </c>
      <c r="Z8" s="412">
        <f>(D8+F8+H8+J8+L8+N8+T8+P8+R8)*Y8/100</f>
        <v>26240.959999999999</v>
      </c>
      <c r="AA8" s="412">
        <f>D8+F8+H8+J8+X8+Z8+L8+N8+T8+P8+R8+V8</f>
        <v>85283.12</v>
      </c>
      <c r="AB8" s="412">
        <f>D8*2.6</f>
        <v>77483.12000000001</v>
      </c>
      <c r="AC8" s="412">
        <f>(AA8*12)+AB8</f>
        <v>1100880.56</v>
      </c>
      <c r="AD8" s="409"/>
      <c r="AE8" s="405"/>
      <c r="AF8" s="405"/>
      <c r="AG8" s="405"/>
      <c r="AH8" s="405"/>
      <c r="AI8" s="405"/>
      <c r="AJ8" s="405"/>
      <c r="AK8" s="405"/>
      <c r="AL8" s="405"/>
      <c r="AM8" s="405"/>
    </row>
    <row r="9" spans="1:39" x14ac:dyDescent="0.25">
      <c r="A9" s="413" t="s">
        <v>820</v>
      </c>
      <c r="B9" s="413">
        <v>0.5</v>
      </c>
      <c r="C9" s="414">
        <v>20860.84</v>
      </c>
      <c r="D9" s="412">
        <f>C9*B9</f>
        <v>10430.42</v>
      </c>
      <c r="E9" s="413"/>
      <c r="F9" s="412">
        <f>D9*E9</f>
        <v>0</v>
      </c>
      <c r="G9" s="413"/>
      <c r="H9" s="412">
        <f>D9*G9</f>
        <v>0</v>
      </c>
      <c r="I9" s="413"/>
      <c r="J9" s="412">
        <f>D9*I9/100</f>
        <v>0</v>
      </c>
      <c r="K9" s="412"/>
      <c r="L9" s="412">
        <f>D9*K9</f>
        <v>0</v>
      </c>
      <c r="M9" s="412"/>
      <c r="N9" s="412">
        <f>D9*M9</f>
        <v>0</v>
      </c>
      <c r="O9" s="412"/>
      <c r="P9" s="412">
        <v>0</v>
      </c>
      <c r="Q9" s="412"/>
      <c r="R9" s="412">
        <f>D9*Q9</f>
        <v>0</v>
      </c>
      <c r="S9" s="412"/>
      <c r="T9" s="412"/>
      <c r="U9" s="412">
        <f>D9+F9+H9+J9+L9+N9+P9+R9+T9</f>
        <v>10430.42</v>
      </c>
      <c r="V9" s="412"/>
      <c r="W9" s="411">
        <v>80</v>
      </c>
      <c r="X9" s="412">
        <f>(D9+F9+H9+J9+L9+N9+T9+P9+R9)*W9/100</f>
        <v>8344.3359999999993</v>
      </c>
      <c r="Y9" s="411">
        <v>80</v>
      </c>
      <c r="Z9" s="412">
        <f>(D9+F9+H9+J9+L9+N9+T9+P9+R9)*Y9/100</f>
        <v>8344.3359999999993</v>
      </c>
      <c r="AA9" s="412">
        <f>D9+F9+H9+J9+X9+Z9+L9+N9+T9+P9+R9+V9</f>
        <v>27119.092000000001</v>
      </c>
      <c r="AB9" s="412">
        <f>D9*2.6</f>
        <v>27119.092000000001</v>
      </c>
      <c r="AC9" s="412">
        <f>(AA9*12)+AB9</f>
        <v>352548.196</v>
      </c>
      <c r="AD9" s="405"/>
      <c r="AE9" s="405"/>
      <c r="AF9" s="405"/>
      <c r="AG9" s="405"/>
      <c r="AH9" s="405"/>
      <c r="AI9" s="405"/>
      <c r="AJ9" s="405"/>
      <c r="AK9" s="405"/>
      <c r="AL9" s="405"/>
      <c r="AM9" s="405"/>
    </row>
    <row r="10" spans="1:39" x14ac:dyDescent="0.25">
      <c r="A10" s="411" t="s">
        <v>820</v>
      </c>
      <c r="B10" s="411">
        <v>0.5</v>
      </c>
      <c r="C10" s="412">
        <v>20860.84</v>
      </c>
      <c r="D10" s="412">
        <f>C10*B10</f>
        <v>10430.42</v>
      </c>
      <c r="E10" s="411"/>
      <c r="F10" s="412">
        <f>D10*E10</f>
        <v>0</v>
      </c>
      <c r="G10" s="411"/>
      <c r="H10" s="412">
        <f>D10*G10</f>
        <v>0</v>
      </c>
      <c r="I10" s="411"/>
      <c r="J10" s="412">
        <f>D10*I10/100</f>
        <v>0</v>
      </c>
      <c r="K10" s="412"/>
      <c r="L10" s="412">
        <f>D10*K10</f>
        <v>0</v>
      </c>
      <c r="M10" s="412"/>
      <c r="N10" s="412">
        <f>D10*M10</f>
        <v>0</v>
      </c>
      <c r="O10" s="412"/>
      <c r="P10" s="412">
        <v>0</v>
      </c>
      <c r="Q10" s="412"/>
      <c r="R10" s="412">
        <f>D10*Q10</f>
        <v>0</v>
      </c>
      <c r="S10" s="412"/>
      <c r="T10" s="412"/>
      <c r="U10" s="412">
        <f>D10+F10+H10+J10+L10+N10+P10+R10+T10</f>
        <v>10430.42</v>
      </c>
      <c r="V10" s="412"/>
      <c r="W10" s="411">
        <v>80</v>
      </c>
      <c r="X10" s="412">
        <f>(D10+F10+H10+J10+L10+N10+T10+P10+R10)*W10/100</f>
        <v>8344.3359999999993</v>
      </c>
      <c r="Y10" s="411">
        <v>80</v>
      </c>
      <c r="Z10" s="412">
        <f>(D10+F10+H10+J10+L10+N10+T10+P10+R10)*Y10/100</f>
        <v>8344.3359999999993</v>
      </c>
      <c r="AA10" s="412">
        <f>D10+F10+H10+J10+X10+Z10+L10+N10+T10+P10+R10+V10</f>
        <v>27119.092000000001</v>
      </c>
      <c r="AB10" s="412">
        <f>D10*2.6</f>
        <v>27119.092000000001</v>
      </c>
      <c r="AC10" s="412">
        <f>(AA10*12)+AB10</f>
        <v>352548.196</v>
      </c>
      <c r="AD10" s="409"/>
      <c r="AE10" s="405"/>
      <c r="AF10" s="405"/>
      <c r="AG10" s="405"/>
      <c r="AH10" s="405"/>
      <c r="AI10" s="405"/>
      <c r="AJ10" s="405"/>
      <c r="AK10" s="405"/>
      <c r="AL10" s="405"/>
      <c r="AM10" s="405"/>
    </row>
    <row r="11" spans="1:39" x14ac:dyDescent="0.25">
      <c r="A11" s="413" t="s">
        <v>821</v>
      </c>
      <c r="B11" s="413">
        <v>1</v>
      </c>
      <c r="C11" s="414">
        <v>26821.08</v>
      </c>
      <c r="D11" s="412">
        <f>C11*B11</f>
        <v>26821.08</v>
      </c>
      <c r="E11" s="413"/>
      <c r="F11" s="412">
        <f>D11*E11</f>
        <v>0</v>
      </c>
      <c r="G11" s="413"/>
      <c r="H11" s="412">
        <f>D11*G11</f>
        <v>0</v>
      </c>
      <c r="I11" s="413"/>
      <c r="J11" s="412">
        <f>D11*I11/100</f>
        <v>0</v>
      </c>
      <c r="K11" s="412"/>
      <c r="L11" s="412">
        <f>D11*K11</f>
        <v>0</v>
      </c>
      <c r="M11" s="412"/>
      <c r="N11" s="412">
        <f>D11*M11</f>
        <v>0</v>
      </c>
      <c r="O11" s="412"/>
      <c r="P11" s="412">
        <v>0</v>
      </c>
      <c r="Q11" s="412"/>
      <c r="R11" s="412">
        <f>D11*Q11</f>
        <v>0</v>
      </c>
      <c r="S11" s="412"/>
      <c r="T11" s="412"/>
      <c r="U11" s="412">
        <f>D11+F11+H11+J11+L11+N11+P11+R11+T11</f>
        <v>26821.08</v>
      </c>
      <c r="V11" s="412"/>
      <c r="W11" s="411">
        <v>80</v>
      </c>
      <c r="X11" s="412">
        <f>(D11+F11+H11+J11+L11+N11+T11+P11+R11)*W11/100</f>
        <v>21456.864000000005</v>
      </c>
      <c r="Y11" s="411">
        <v>80</v>
      </c>
      <c r="Z11" s="412">
        <f>(D11+F11+H11+J11+L11+N11+T11+P11+R11)*Y11/100</f>
        <v>21456.864000000005</v>
      </c>
      <c r="AA11" s="412">
        <f>D11+F11+H11+J11+X11+Z11+L11+N11+T11+P11+R11+V11</f>
        <v>69734.808000000005</v>
      </c>
      <c r="AB11" s="412">
        <f>D11*2.6</f>
        <v>69734.808000000005</v>
      </c>
      <c r="AC11" s="412">
        <f>(AA11*1)+AB11</f>
        <v>139469.61600000001</v>
      </c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</row>
    <row r="12" spans="1:39" ht="18.75" customHeight="1" x14ac:dyDescent="0.25">
      <c r="A12" s="415" t="s">
        <v>512</v>
      </c>
      <c r="B12" s="416">
        <f>SUM(B8:B11)</f>
        <v>3</v>
      </c>
      <c r="C12" s="416">
        <f>SUM(C8:C11)</f>
        <v>98343.96</v>
      </c>
      <c r="D12" s="416">
        <f>SUM(D8:D11)</f>
        <v>77483.12</v>
      </c>
      <c r="E12" s="416"/>
      <c r="F12" s="416">
        <f>SUM(F10:F11)</f>
        <v>0</v>
      </c>
      <c r="G12" s="416"/>
      <c r="H12" s="416">
        <f>SUM(H10:H11)</f>
        <v>0</v>
      </c>
      <c r="I12" s="416"/>
      <c r="J12" s="416">
        <f>SUM(J10:J11)</f>
        <v>0</v>
      </c>
      <c r="K12" s="416"/>
      <c r="L12" s="416">
        <f>SUM(L8:L11)</f>
        <v>3000</v>
      </c>
      <c r="M12" s="416"/>
      <c r="N12" s="416">
        <f>SUM(N10:N11)</f>
        <v>0</v>
      </c>
      <c r="O12" s="416"/>
      <c r="P12" s="416">
        <f>SUM(P10:P11)</f>
        <v>0</v>
      </c>
      <c r="Q12" s="416"/>
      <c r="R12" s="416">
        <f>SUM(R10:R11)</f>
        <v>0</v>
      </c>
      <c r="S12" s="416"/>
      <c r="T12" s="416">
        <f>SUM(T10:T11)</f>
        <v>0</v>
      </c>
      <c r="U12" s="416">
        <f>SUM(U8:U11)</f>
        <v>80483.12</v>
      </c>
      <c r="V12" s="416"/>
      <c r="W12" s="416"/>
      <c r="X12" s="416">
        <f>SUM(X8:X11)</f>
        <v>64386.495999999999</v>
      </c>
      <c r="Y12" s="416"/>
      <c r="Z12" s="416">
        <f>SUM(Z8:Z11)</f>
        <v>64386.495999999999</v>
      </c>
      <c r="AA12" s="416">
        <f>SUM(AA8:AA11)</f>
        <v>209256.11200000002</v>
      </c>
      <c r="AB12" s="416">
        <f>SUM(AB8:AB11)</f>
        <v>201456.11200000002</v>
      </c>
      <c r="AC12" s="416">
        <f>SUM(AC8:AC11)</f>
        <v>1945446.568</v>
      </c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</row>
    <row r="13" spans="1:39" ht="15" customHeight="1" x14ac:dyDescent="0.25">
      <c r="A13" s="660" t="s">
        <v>513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661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</row>
    <row r="14" spans="1:39" x14ac:dyDescent="0.25">
      <c r="A14" s="413" t="s">
        <v>822</v>
      </c>
      <c r="B14" s="413">
        <v>1.1000000000000001</v>
      </c>
      <c r="C14" s="414">
        <v>12504</v>
      </c>
      <c r="D14" s="412">
        <f t="shared" ref="D14:D24" si="0">C14*B14</f>
        <v>13754.400000000001</v>
      </c>
      <c r="E14" s="417">
        <v>0.2</v>
      </c>
      <c r="F14" s="412">
        <f t="shared" ref="F14:F24" si="1">D14*E14</f>
        <v>2750.8800000000006</v>
      </c>
      <c r="G14" s="413"/>
      <c r="H14" s="412">
        <f t="shared" ref="H14:H24" si="2">D14*G14</f>
        <v>0</v>
      </c>
      <c r="I14" s="411"/>
      <c r="J14" s="412">
        <f t="shared" ref="J14:J24" si="3">D14*I14/100</f>
        <v>0</v>
      </c>
      <c r="K14" s="412"/>
      <c r="L14" s="412">
        <f t="shared" ref="L14:L24" si="4">D14*K14</f>
        <v>0</v>
      </c>
      <c r="M14" s="417">
        <v>0.25</v>
      </c>
      <c r="N14" s="412">
        <f t="shared" ref="N14:N24" si="5">D14*M14</f>
        <v>3438.6000000000004</v>
      </c>
      <c r="O14" s="412"/>
      <c r="P14" s="412">
        <v>0</v>
      </c>
      <c r="Q14" s="412"/>
      <c r="R14" s="412">
        <f t="shared" ref="R14:R24" si="6">D14*Q14</f>
        <v>0</v>
      </c>
      <c r="S14" s="412"/>
      <c r="T14" s="412"/>
      <c r="U14" s="412">
        <f>D14+F14+H14+J14+L14+N14+P14+R14+T14</f>
        <v>19943.880000000005</v>
      </c>
      <c r="V14" s="412">
        <v>0</v>
      </c>
      <c r="W14" s="411">
        <v>80</v>
      </c>
      <c r="X14" s="412">
        <f>(U14+V14)*W14/100</f>
        <v>15955.104000000003</v>
      </c>
      <c r="Y14" s="411">
        <v>80</v>
      </c>
      <c r="Z14" s="412">
        <f>(U14+V14)*Y14/100</f>
        <v>15955.104000000003</v>
      </c>
      <c r="AA14" s="412">
        <f>D14+F14+H14+J14+X14+Z14+L14+N14+T14+P14+R14+V14</f>
        <v>51854.088000000011</v>
      </c>
      <c r="AB14" s="412">
        <f t="shared" ref="AB14:AB24" si="7">D14*2.6</f>
        <v>35761.440000000002</v>
      </c>
      <c r="AC14" s="412">
        <f>(AA14*12)+AB14</f>
        <v>658010.49600000004</v>
      </c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</row>
    <row r="15" spans="1:39" x14ac:dyDescent="0.25">
      <c r="A15" s="413" t="s">
        <v>822</v>
      </c>
      <c r="B15" s="413">
        <v>0.4</v>
      </c>
      <c r="C15" s="414">
        <v>12504</v>
      </c>
      <c r="D15" s="412">
        <f t="shared" si="0"/>
        <v>5001.6000000000004</v>
      </c>
      <c r="E15" s="417">
        <v>0.2</v>
      </c>
      <c r="F15" s="412">
        <f t="shared" si="1"/>
        <v>1000.3200000000002</v>
      </c>
      <c r="G15" s="413"/>
      <c r="H15" s="412">
        <f t="shared" si="2"/>
        <v>0</v>
      </c>
      <c r="I15" s="413"/>
      <c r="J15" s="412">
        <f t="shared" si="3"/>
        <v>0</v>
      </c>
      <c r="K15" s="412"/>
      <c r="L15" s="412">
        <f t="shared" si="4"/>
        <v>0</v>
      </c>
      <c r="M15" s="417">
        <v>0.25</v>
      </c>
      <c r="N15" s="412">
        <f t="shared" si="5"/>
        <v>1250.4000000000001</v>
      </c>
      <c r="O15" s="412"/>
      <c r="P15" s="412">
        <v>0</v>
      </c>
      <c r="Q15" s="412"/>
      <c r="R15" s="412">
        <f t="shared" si="6"/>
        <v>0</v>
      </c>
      <c r="S15" s="412"/>
      <c r="T15" s="412"/>
      <c r="U15" s="412">
        <f t="shared" ref="U15:U24" si="8">D15+F15+H15+J15+L15+N15+P15+R15+T15</f>
        <v>7252.32</v>
      </c>
      <c r="V15" s="412">
        <v>0</v>
      </c>
      <c r="W15" s="411">
        <v>80</v>
      </c>
      <c r="X15" s="412">
        <f t="shared" ref="X15:X24" si="9">(U15+V15)*W15/100</f>
        <v>5801.8559999999998</v>
      </c>
      <c r="Y15" s="411">
        <v>80</v>
      </c>
      <c r="Z15" s="412">
        <f t="shared" ref="Z15:Z24" si="10">(U15+V15)*Y15/100</f>
        <v>5801.8559999999998</v>
      </c>
      <c r="AA15" s="412">
        <f t="shared" ref="AA15:AA24" si="11">D15+F15+H15+J15+X15+Z15+L15+N15+T15+P15+R15+V15</f>
        <v>18856.031999999999</v>
      </c>
      <c r="AB15" s="412">
        <f t="shared" si="7"/>
        <v>13004.160000000002</v>
      </c>
      <c r="AC15" s="412">
        <f t="shared" ref="AC15:AC24" si="12">(AA15*12)+AB15</f>
        <v>239276.54399999999</v>
      </c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</row>
    <row r="16" spans="1:39" x14ac:dyDescent="0.25">
      <c r="A16" s="413" t="s">
        <v>823</v>
      </c>
      <c r="B16" s="413">
        <v>1</v>
      </c>
      <c r="C16" s="414">
        <v>12504</v>
      </c>
      <c r="D16" s="412">
        <f t="shared" si="0"/>
        <v>12504</v>
      </c>
      <c r="E16" s="417"/>
      <c r="F16" s="412">
        <f t="shared" si="1"/>
        <v>0</v>
      </c>
      <c r="G16" s="413"/>
      <c r="H16" s="412">
        <f t="shared" si="2"/>
        <v>0</v>
      </c>
      <c r="I16" s="413"/>
      <c r="J16" s="412">
        <f t="shared" si="3"/>
        <v>0</v>
      </c>
      <c r="K16" s="412"/>
      <c r="L16" s="412">
        <f t="shared" si="4"/>
        <v>0</v>
      </c>
      <c r="M16" s="417">
        <v>0.25</v>
      </c>
      <c r="N16" s="412">
        <f t="shared" si="5"/>
        <v>3126</v>
      </c>
      <c r="O16" s="412"/>
      <c r="P16" s="412">
        <v>0</v>
      </c>
      <c r="Q16" s="412"/>
      <c r="R16" s="412">
        <f t="shared" si="6"/>
        <v>0</v>
      </c>
      <c r="S16" s="412"/>
      <c r="T16" s="412"/>
      <c r="U16" s="412">
        <f t="shared" si="8"/>
        <v>15630</v>
      </c>
      <c r="V16" s="412">
        <v>0</v>
      </c>
      <c r="W16" s="411">
        <v>80</v>
      </c>
      <c r="X16" s="412">
        <f t="shared" si="9"/>
        <v>12504</v>
      </c>
      <c r="Y16" s="411">
        <v>80</v>
      </c>
      <c r="Z16" s="412">
        <f t="shared" si="10"/>
        <v>12504</v>
      </c>
      <c r="AA16" s="412">
        <f t="shared" si="11"/>
        <v>40638</v>
      </c>
      <c r="AB16" s="412">
        <f t="shared" si="7"/>
        <v>32510.400000000001</v>
      </c>
      <c r="AC16" s="412">
        <f t="shared" si="12"/>
        <v>520166.40000000002</v>
      </c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</row>
    <row r="17" spans="1:39" x14ac:dyDescent="0.25">
      <c r="A17" s="413" t="s">
        <v>824</v>
      </c>
      <c r="B17" s="413">
        <v>1.5</v>
      </c>
      <c r="C17" s="414">
        <v>12504</v>
      </c>
      <c r="D17" s="412">
        <f t="shared" si="0"/>
        <v>18756</v>
      </c>
      <c r="E17" s="418">
        <v>0.2</v>
      </c>
      <c r="F17" s="412">
        <f t="shared" si="1"/>
        <v>3751.2000000000003</v>
      </c>
      <c r="G17" s="413"/>
      <c r="H17" s="412">
        <f t="shared" si="2"/>
        <v>0</v>
      </c>
      <c r="I17" s="413"/>
      <c r="J17" s="412">
        <f t="shared" si="3"/>
        <v>0</v>
      </c>
      <c r="K17" s="413"/>
      <c r="L17" s="412">
        <f t="shared" si="4"/>
        <v>0</v>
      </c>
      <c r="M17" s="418">
        <v>0.25</v>
      </c>
      <c r="N17" s="412">
        <f t="shared" si="5"/>
        <v>4689</v>
      </c>
      <c r="O17" s="412"/>
      <c r="P17" s="412">
        <v>0</v>
      </c>
      <c r="Q17" s="412"/>
      <c r="R17" s="412">
        <f t="shared" si="6"/>
        <v>0</v>
      </c>
      <c r="S17" s="413"/>
      <c r="T17" s="413"/>
      <c r="U17" s="412">
        <f t="shared" si="8"/>
        <v>27196.2</v>
      </c>
      <c r="V17" s="412">
        <v>0</v>
      </c>
      <c r="W17" s="411">
        <v>80</v>
      </c>
      <c r="X17" s="412">
        <f t="shared" si="9"/>
        <v>21756.959999999999</v>
      </c>
      <c r="Y17" s="411">
        <v>80</v>
      </c>
      <c r="Z17" s="412">
        <f t="shared" si="10"/>
        <v>21756.959999999999</v>
      </c>
      <c r="AA17" s="412">
        <f t="shared" si="11"/>
        <v>70710.12</v>
      </c>
      <c r="AB17" s="412">
        <f t="shared" si="7"/>
        <v>48765.599999999999</v>
      </c>
      <c r="AC17" s="412">
        <f t="shared" si="12"/>
        <v>897287.03999999992</v>
      </c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</row>
    <row r="18" spans="1:39" x14ac:dyDescent="0.25">
      <c r="A18" s="413" t="s">
        <v>825</v>
      </c>
      <c r="B18" s="413">
        <v>0.25</v>
      </c>
      <c r="C18" s="414">
        <v>13025</v>
      </c>
      <c r="D18" s="412">
        <f t="shared" si="0"/>
        <v>3256.25</v>
      </c>
      <c r="E18" s="417"/>
      <c r="F18" s="412">
        <f t="shared" si="1"/>
        <v>0</v>
      </c>
      <c r="G18" s="413"/>
      <c r="H18" s="412">
        <f t="shared" si="2"/>
        <v>0</v>
      </c>
      <c r="I18" s="413"/>
      <c r="J18" s="412">
        <f t="shared" si="3"/>
        <v>0</v>
      </c>
      <c r="K18" s="412"/>
      <c r="L18" s="412">
        <f t="shared" si="4"/>
        <v>0</v>
      </c>
      <c r="M18" s="417"/>
      <c r="N18" s="412">
        <f t="shared" si="5"/>
        <v>0</v>
      </c>
      <c r="O18" s="412"/>
      <c r="P18" s="412">
        <v>0</v>
      </c>
      <c r="Q18" s="412"/>
      <c r="R18" s="412">
        <f t="shared" si="6"/>
        <v>0</v>
      </c>
      <c r="S18" s="412"/>
      <c r="T18" s="412"/>
      <c r="U18" s="412">
        <f t="shared" si="8"/>
        <v>3256.25</v>
      </c>
      <c r="V18" s="412">
        <v>0</v>
      </c>
      <c r="W18" s="411">
        <v>80</v>
      </c>
      <c r="X18" s="412">
        <f t="shared" si="9"/>
        <v>2605</v>
      </c>
      <c r="Y18" s="411">
        <v>80</v>
      </c>
      <c r="Z18" s="412">
        <f t="shared" si="10"/>
        <v>2605</v>
      </c>
      <c r="AA18" s="412">
        <f t="shared" si="11"/>
        <v>8466.25</v>
      </c>
      <c r="AB18" s="412">
        <f t="shared" si="7"/>
        <v>8466.25</v>
      </c>
      <c r="AC18" s="412">
        <f t="shared" si="12"/>
        <v>110061.25</v>
      </c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</row>
    <row r="19" spans="1:39" hidden="1" x14ac:dyDescent="0.25">
      <c r="A19" s="413"/>
      <c r="B19" s="413"/>
      <c r="C19" s="414"/>
      <c r="D19" s="412">
        <f t="shared" si="0"/>
        <v>0</v>
      </c>
      <c r="E19" s="417"/>
      <c r="F19" s="412">
        <f t="shared" si="1"/>
        <v>0</v>
      </c>
      <c r="G19" s="413"/>
      <c r="H19" s="412">
        <f t="shared" si="2"/>
        <v>0</v>
      </c>
      <c r="I19" s="413"/>
      <c r="J19" s="412">
        <f t="shared" si="3"/>
        <v>0</v>
      </c>
      <c r="K19" s="412"/>
      <c r="L19" s="412">
        <f t="shared" si="4"/>
        <v>0</v>
      </c>
      <c r="M19" s="417"/>
      <c r="N19" s="412">
        <f t="shared" si="5"/>
        <v>0</v>
      </c>
      <c r="O19" s="412"/>
      <c r="P19" s="412">
        <f>D19+O19</f>
        <v>0</v>
      </c>
      <c r="Q19" s="412"/>
      <c r="R19" s="412">
        <f t="shared" si="6"/>
        <v>0</v>
      </c>
      <c r="S19" s="412"/>
      <c r="T19" s="412"/>
      <c r="U19" s="412">
        <f t="shared" si="8"/>
        <v>0</v>
      </c>
      <c r="V19" s="412">
        <f>(12130*B19)-U19</f>
        <v>0</v>
      </c>
      <c r="W19" s="411">
        <v>80</v>
      </c>
      <c r="X19" s="412">
        <f t="shared" si="9"/>
        <v>0</v>
      </c>
      <c r="Y19" s="411">
        <v>80</v>
      </c>
      <c r="Z19" s="412">
        <f t="shared" si="10"/>
        <v>0</v>
      </c>
      <c r="AA19" s="412">
        <f t="shared" si="11"/>
        <v>0</v>
      </c>
      <c r="AB19" s="412">
        <f t="shared" si="7"/>
        <v>0</v>
      </c>
      <c r="AC19" s="412">
        <f t="shared" si="12"/>
        <v>0</v>
      </c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</row>
    <row r="20" spans="1:39" x14ac:dyDescent="0.25">
      <c r="A20" s="413" t="s">
        <v>826</v>
      </c>
      <c r="B20" s="413">
        <v>0.5</v>
      </c>
      <c r="C20" s="414">
        <v>13025</v>
      </c>
      <c r="D20" s="412">
        <f t="shared" si="0"/>
        <v>6512.5</v>
      </c>
      <c r="E20" s="417">
        <v>0.2</v>
      </c>
      <c r="F20" s="412">
        <f t="shared" si="1"/>
        <v>1302.5</v>
      </c>
      <c r="G20" s="413"/>
      <c r="H20" s="412">
        <f t="shared" si="2"/>
        <v>0</v>
      </c>
      <c r="I20" s="413"/>
      <c r="J20" s="412">
        <f t="shared" si="3"/>
        <v>0</v>
      </c>
      <c r="K20" s="412"/>
      <c r="L20" s="412">
        <f t="shared" si="4"/>
        <v>0</v>
      </c>
      <c r="M20" s="417">
        <v>0.25</v>
      </c>
      <c r="N20" s="412">
        <f t="shared" si="5"/>
        <v>1628.125</v>
      </c>
      <c r="O20" s="412"/>
      <c r="P20" s="412">
        <v>0</v>
      </c>
      <c r="Q20" s="412"/>
      <c r="R20" s="412">
        <f t="shared" si="6"/>
        <v>0</v>
      </c>
      <c r="S20" s="412"/>
      <c r="T20" s="412"/>
      <c r="U20" s="412">
        <f t="shared" si="8"/>
        <v>9443.125</v>
      </c>
      <c r="V20" s="412">
        <v>0</v>
      </c>
      <c r="W20" s="411">
        <v>80</v>
      </c>
      <c r="X20" s="412">
        <f t="shared" si="9"/>
        <v>7554.5</v>
      </c>
      <c r="Y20" s="411">
        <v>80</v>
      </c>
      <c r="Z20" s="412">
        <f t="shared" si="10"/>
        <v>7554.5</v>
      </c>
      <c r="AA20" s="412">
        <f t="shared" si="11"/>
        <v>24552.125</v>
      </c>
      <c r="AB20" s="412">
        <f t="shared" si="7"/>
        <v>16932.5</v>
      </c>
      <c r="AC20" s="412">
        <f t="shared" si="12"/>
        <v>311558</v>
      </c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</row>
    <row r="21" spans="1:39" ht="30" x14ac:dyDescent="0.25">
      <c r="A21" s="413" t="s">
        <v>827</v>
      </c>
      <c r="B21" s="413">
        <v>0.25</v>
      </c>
      <c r="C21" s="414">
        <v>13546</v>
      </c>
      <c r="D21" s="412">
        <f t="shared" si="0"/>
        <v>3386.5</v>
      </c>
      <c r="E21" s="417">
        <v>0.2</v>
      </c>
      <c r="F21" s="412">
        <f t="shared" si="1"/>
        <v>677.30000000000007</v>
      </c>
      <c r="G21" s="413"/>
      <c r="H21" s="412">
        <f t="shared" si="2"/>
        <v>0</v>
      </c>
      <c r="I21" s="413"/>
      <c r="J21" s="412">
        <f t="shared" si="3"/>
        <v>0</v>
      </c>
      <c r="K21" s="412"/>
      <c r="L21" s="412">
        <f t="shared" si="4"/>
        <v>0</v>
      </c>
      <c r="M21" s="417">
        <v>0.25</v>
      </c>
      <c r="N21" s="412">
        <f t="shared" si="5"/>
        <v>846.625</v>
      </c>
      <c r="O21" s="412"/>
      <c r="P21" s="412">
        <v>0</v>
      </c>
      <c r="Q21" s="412"/>
      <c r="R21" s="412">
        <f t="shared" si="6"/>
        <v>0</v>
      </c>
      <c r="S21" s="412"/>
      <c r="T21" s="412"/>
      <c r="U21" s="412">
        <f t="shared" si="8"/>
        <v>4910.4250000000002</v>
      </c>
      <c r="V21" s="412">
        <v>0</v>
      </c>
      <c r="W21" s="411">
        <v>80</v>
      </c>
      <c r="X21" s="412">
        <f t="shared" si="9"/>
        <v>3928.34</v>
      </c>
      <c r="Y21" s="411">
        <v>80</v>
      </c>
      <c r="Z21" s="412">
        <f t="shared" si="10"/>
        <v>3928.34</v>
      </c>
      <c r="AA21" s="412">
        <f t="shared" si="11"/>
        <v>12767.105</v>
      </c>
      <c r="AB21" s="412">
        <f t="shared" si="7"/>
        <v>8804.9</v>
      </c>
      <c r="AC21" s="412">
        <f t="shared" si="12"/>
        <v>162010.16</v>
      </c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</row>
    <row r="22" spans="1:39" ht="30" x14ac:dyDescent="0.25">
      <c r="A22" s="413" t="s">
        <v>827</v>
      </c>
      <c r="B22" s="413">
        <v>0.25</v>
      </c>
      <c r="C22" s="414">
        <v>13546</v>
      </c>
      <c r="D22" s="412">
        <f t="shared" si="0"/>
        <v>3386.5</v>
      </c>
      <c r="E22" s="417">
        <v>0.1</v>
      </c>
      <c r="F22" s="412">
        <f t="shared" si="1"/>
        <v>338.65000000000003</v>
      </c>
      <c r="G22" s="413"/>
      <c r="H22" s="412">
        <f t="shared" si="2"/>
        <v>0</v>
      </c>
      <c r="I22" s="413"/>
      <c r="J22" s="412">
        <f t="shared" si="3"/>
        <v>0</v>
      </c>
      <c r="K22" s="412"/>
      <c r="L22" s="412">
        <f t="shared" si="4"/>
        <v>0</v>
      </c>
      <c r="M22" s="417">
        <v>0.25</v>
      </c>
      <c r="N22" s="412">
        <f t="shared" si="5"/>
        <v>846.625</v>
      </c>
      <c r="O22" s="412"/>
      <c r="P22" s="412">
        <v>0</v>
      </c>
      <c r="Q22" s="412"/>
      <c r="R22" s="412">
        <f t="shared" si="6"/>
        <v>0</v>
      </c>
      <c r="S22" s="412"/>
      <c r="T22" s="412"/>
      <c r="U22" s="412">
        <f t="shared" si="8"/>
        <v>4571.7749999999996</v>
      </c>
      <c r="V22" s="412">
        <v>0</v>
      </c>
      <c r="W22" s="411">
        <v>80</v>
      </c>
      <c r="X22" s="412">
        <f t="shared" si="9"/>
        <v>3657.42</v>
      </c>
      <c r="Y22" s="411">
        <v>80</v>
      </c>
      <c r="Z22" s="412">
        <f t="shared" si="10"/>
        <v>3657.42</v>
      </c>
      <c r="AA22" s="412">
        <f t="shared" si="11"/>
        <v>11886.615</v>
      </c>
      <c r="AB22" s="412">
        <f t="shared" si="7"/>
        <v>8804.9</v>
      </c>
      <c r="AC22" s="412">
        <f t="shared" si="12"/>
        <v>151444.28</v>
      </c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</row>
    <row r="23" spans="1:39" ht="30" x14ac:dyDescent="0.25">
      <c r="A23" s="413" t="s">
        <v>828</v>
      </c>
      <c r="B23" s="413">
        <v>15.78</v>
      </c>
      <c r="C23" s="414">
        <v>13546</v>
      </c>
      <c r="D23" s="412">
        <f t="shared" si="0"/>
        <v>213755.88</v>
      </c>
      <c r="E23" s="418"/>
      <c r="F23" s="412">
        <v>38910.879999999997</v>
      </c>
      <c r="G23" s="413"/>
      <c r="H23" s="412">
        <f t="shared" si="2"/>
        <v>0</v>
      </c>
      <c r="I23" s="413"/>
      <c r="J23" s="412">
        <f t="shared" si="3"/>
        <v>0</v>
      </c>
      <c r="K23" s="413"/>
      <c r="L23" s="413">
        <f>13663.18+6000</f>
        <v>19663.18</v>
      </c>
      <c r="M23" s="418">
        <v>0.25</v>
      </c>
      <c r="N23" s="412">
        <f t="shared" si="5"/>
        <v>53438.97</v>
      </c>
      <c r="O23" s="412"/>
      <c r="P23" s="412">
        <v>0</v>
      </c>
      <c r="Q23" s="412"/>
      <c r="R23" s="412">
        <f t="shared" si="6"/>
        <v>0</v>
      </c>
      <c r="S23" s="413"/>
      <c r="T23" s="413"/>
      <c r="U23" s="412">
        <f t="shared" si="8"/>
        <v>325768.91000000003</v>
      </c>
      <c r="V23" s="412">
        <v>0</v>
      </c>
      <c r="W23" s="411">
        <v>80</v>
      </c>
      <c r="X23" s="412">
        <f t="shared" si="9"/>
        <v>260615.12800000006</v>
      </c>
      <c r="Y23" s="411">
        <v>80</v>
      </c>
      <c r="Z23" s="412">
        <f t="shared" si="10"/>
        <v>260615.12800000006</v>
      </c>
      <c r="AA23" s="412">
        <f t="shared" si="11"/>
        <v>846999.16600000008</v>
      </c>
      <c r="AB23" s="412">
        <f>C23*13*2.6</f>
        <v>457854.8</v>
      </c>
      <c r="AC23" s="412">
        <f>(AA23*12)+AB23</f>
        <v>10621844.792000001</v>
      </c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</row>
    <row r="24" spans="1:39" x14ac:dyDescent="0.25">
      <c r="A24" s="413" t="s">
        <v>829</v>
      </c>
      <c r="B24" s="413">
        <v>0.5</v>
      </c>
      <c r="C24" s="414">
        <v>13546</v>
      </c>
      <c r="D24" s="412">
        <f t="shared" si="0"/>
        <v>6773</v>
      </c>
      <c r="E24" s="417"/>
      <c r="F24" s="412">
        <f t="shared" si="1"/>
        <v>0</v>
      </c>
      <c r="G24" s="413"/>
      <c r="H24" s="412">
        <f t="shared" si="2"/>
        <v>0</v>
      </c>
      <c r="I24" s="413"/>
      <c r="J24" s="412">
        <f t="shared" si="3"/>
        <v>0</v>
      </c>
      <c r="K24" s="412"/>
      <c r="L24" s="412">
        <f t="shared" si="4"/>
        <v>0</v>
      </c>
      <c r="M24" s="417">
        <v>0.25</v>
      </c>
      <c r="N24" s="412">
        <f t="shared" si="5"/>
        <v>1693.25</v>
      </c>
      <c r="O24" s="412"/>
      <c r="P24" s="412">
        <v>0</v>
      </c>
      <c r="Q24" s="412"/>
      <c r="R24" s="412">
        <f t="shared" si="6"/>
        <v>0</v>
      </c>
      <c r="S24" s="412"/>
      <c r="T24" s="412"/>
      <c r="U24" s="412">
        <f t="shared" si="8"/>
        <v>8466.25</v>
      </c>
      <c r="V24" s="412">
        <v>0</v>
      </c>
      <c r="W24" s="411">
        <v>80</v>
      </c>
      <c r="X24" s="412">
        <f t="shared" si="9"/>
        <v>6773</v>
      </c>
      <c r="Y24" s="411">
        <v>80</v>
      </c>
      <c r="Z24" s="412">
        <f t="shared" si="10"/>
        <v>6773</v>
      </c>
      <c r="AA24" s="412">
        <f t="shared" si="11"/>
        <v>22012.25</v>
      </c>
      <c r="AB24" s="412">
        <f t="shared" si="7"/>
        <v>17609.8</v>
      </c>
      <c r="AC24" s="412">
        <f t="shared" si="12"/>
        <v>281756.79999999999</v>
      </c>
      <c r="AD24" s="405"/>
      <c r="AE24" s="419"/>
      <c r="AF24" s="405"/>
      <c r="AG24" s="405"/>
      <c r="AH24" s="405"/>
      <c r="AI24" s="405"/>
      <c r="AJ24" s="405"/>
      <c r="AK24" s="405"/>
      <c r="AL24" s="405"/>
      <c r="AM24" s="405"/>
    </row>
    <row r="25" spans="1:39" ht="29.25" x14ac:dyDescent="0.25">
      <c r="A25" s="415" t="s">
        <v>514</v>
      </c>
      <c r="B25" s="415">
        <f>SUM(B14:B24)</f>
        <v>21.53</v>
      </c>
      <c r="C25" s="416">
        <f>SUM(C14:C24)</f>
        <v>130250</v>
      </c>
      <c r="D25" s="416">
        <f>SUM(D14:D24)</f>
        <v>287086.63</v>
      </c>
      <c r="E25" s="416"/>
      <c r="F25" s="416">
        <f>SUM(F14:F24)</f>
        <v>48731.729999999996</v>
      </c>
      <c r="G25" s="416"/>
      <c r="H25" s="416">
        <f>SUM(H14:H24)</f>
        <v>0</v>
      </c>
      <c r="I25" s="416"/>
      <c r="J25" s="416">
        <f>SUM(J14:J24)</f>
        <v>0</v>
      </c>
      <c r="K25" s="416"/>
      <c r="L25" s="416">
        <f>SUM(L14:L24)</f>
        <v>19663.18</v>
      </c>
      <c r="M25" s="416"/>
      <c r="N25" s="416">
        <f>SUM(N14:N24)</f>
        <v>70957.595000000001</v>
      </c>
      <c r="O25" s="416"/>
      <c r="P25" s="416">
        <v>412049.49</v>
      </c>
      <c r="Q25" s="416"/>
      <c r="R25" s="416">
        <f>SUM(R14:R24)</f>
        <v>0</v>
      </c>
      <c r="S25" s="416"/>
      <c r="T25" s="416">
        <f>SUM(T14:T24)</f>
        <v>0</v>
      </c>
      <c r="U25" s="416">
        <f>SUM(U14:U24)</f>
        <v>426439.13500000001</v>
      </c>
      <c r="V25" s="416"/>
      <c r="W25" s="416"/>
      <c r="X25" s="416">
        <f>SUM(X14:X24)</f>
        <v>341151.30800000008</v>
      </c>
      <c r="Y25" s="416"/>
      <c r="Z25" s="416">
        <f>SUM(Z14:Z24)</f>
        <v>341151.30800000008</v>
      </c>
      <c r="AA25" s="416">
        <f>SUM(AA14:AA24)</f>
        <v>1108741.7510000002</v>
      </c>
      <c r="AB25" s="416">
        <f>SUM(AB14:AB24)</f>
        <v>648514.75</v>
      </c>
      <c r="AC25" s="416">
        <f>SUM(AC14:AC24)+P25</f>
        <v>14365465.252000002</v>
      </c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</row>
    <row r="26" spans="1:39" s="421" customFormat="1" ht="15" customHeight="1" x14ac:dyDescent="0.25">
      <c r="A26" s="660" t="s">
        <v>515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</row>
    <row r="27" spans="1:39" s="421" customFormat="1" x14ac:dyDescent="0.25">
      <c r="A27" s="422" t="s">
        <v>830</v>
      </c>
      <c r="B27" s="422">
        <v>1</v>
      </c>
      <c r="C27" s="423">
        <v>12504</v>
      </c>
      <c r="D27" s="412">
        <f t="shared" ref="D27:D41" si="13">C27*B27</f>
        <v>12504</v>
      </c>
      <c r="E27" s="424">
        <v>0.4</v>
      </c>
      <c r="F27" s="412">
        <f t="shared" ref="F27:F41" si="14">D27*E27</f>
        <v>5001.6000000000004</v>
      </c>
      <c r="G27" s="425"/>
      <c r="H27" s="412">
        <f t="shared" ref="H27:H41" si="15">D27*G27</f>
        <v>0</v>
      </c>
      <c r="I27" s="424"/>
      <c r="J27" s="412">
        <f t="shared" ref="J27:J34" si="16">D27*I27/100</f>
        <v>0</v>
      </c>
      <c r="K27" s="425"/>
      <c r="L27" s="412">
        <f t="shared" ref="L27:L41" si="17">D27*K27</f>
        <v>0</v>
      </c>
      <c r="M27" s="425"/>
      <c r="N27" s="412">
        <f t="shared" ref="N27:N41" si="18">D27*M27</f>
        <v>0</v>
      </c>
      <c r="O27" s="412"/>
      <c r="P27" s="412">
        <v>0</v>
      </c>
      <c r="Q27" s="412"/>
      <c r="R27" s="412">
        <f t="shared" ref="R27:R41" si="19">D27*Q27</f>
        <v>0</v>
      </c>
      <c r="S27" s="425"/>
      <c r="T27" s="423"/>
      <c r="U27" s="412">
        <f t="shared" ref="U27:U41" si="20">D27+F27+H27+J27+L27+N27+P27+R27+T27</f>
        <v>17505.599999999999</v>
      </c>
      <c r="V27" s="412">
        <v>0</v>
      </c>
      <c r="W27" s="411">
        <v>80</v>
      </c>
      <c r="X27" s="412">
        <f>(U27+V27)*W27/100</f>
        <v>14004.48</v>
      </c>
      <c r="Y27" s="411">
        <v>80</v>
      </c>
      <c r="Z27" s="412">
        <f t="shared" ref="Z27:Z41" si="21">(U27+V27)*Y27/100</f>
        <v>14004.48</v>
      </c>
      <c r="AA27" s="412">
        <f t="shared" ref="AA27:AA33" si="22">D27+F27+H27+J27+X27+Z27+L27+N27+T27+P27+R27+V27</f>
        <v>45514.559999999998</v>
      </c>
      <c r="AB27" s="412">
        <f t="shared" ref="AB27:AB40" si="23">D27*2.6</f>
        <v>32510.400000000001</v>
      </c>
      <c r="AC27" s="412">
        <f t="shared" ref="AC27:AC41" si="24">(AA27*12)+AB27</f>
        <v>578685.12</v>
      </c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</row>
    <row r="28" spans="1:39" s="421" customFormat="1" x14ac:dyDescent="0.25">
      <c r="A28" s="422" t="s">
        <v>831</v>
      </c>
      <c r="B28" s="422">
        <v>1</v>
      </c>
      <c r="C28" s="423">
        <v>11983</v>
      </c>
      <c r="D28" s="412">
        <f t="shared" si="13"/>
        <v>11983</v>
      </c>
      <c r="E28" s="424">
        <v>0.3</v>
      </c>
      <c r="F28" s="412">
        <f t="shared" si="14"/>
        <v>3594.9</v>
      </c>
      <c r="G28" s="425"/>
      <c r="H28" s="412">
        <f t="shared" si="15"/>
        <v>0</v>
      </c>
      <c r="I28" s="424"/>
      <c r="J28" s="412">
        <f t="shared" si="16"/>
        <v>0</v>
      </c>
      <c r="K28" s="425"/>
      <c r="L28" s="412">
        <f t="shared" si="17"/>
        <v>0</v>
      </c>
      <c r="M28" s="425"/>
      <c r="N28" s="412">
        <f t="shared" si="18"/>
        <v>0</v>
      </c>
      <c r="O28" s="412"/>
      <c r="P28" s="412">
        <v>0</v>
      </c>
      <c r="Q28" s="412"/>
      <c r="R28" s="412">
        <f t="shared" si="19"/>
        <v>0</v>
      </c>
      <c r="S28" s="425"/>
      <c r="T28" s="423"/>
      <c r="U28" s="412">
        <f t="shared" si="20"/>
        <v>15577.9</v>
      </c>
      <c r="V28" s="412">
        <v>0</v>
      </c>
      <c r="W28" s="411">
        <v>80</v>
      </c>
      <c r="X28" s="412">
        <f t="shared" ref="X28:X41" si="25">(U28+V28)*W28/100</f>
        <v>12462.32</v>
      </c>
      <c r="Y28" s="411">
        <v>80</v>
      </c>
      <c r="Z28" s="412">
        <f t="shared" si="21"/>
        <v>12462.32</v>
      </c>
      <c r="AA28" s="412">
        <f t="shared" si="22"/>
        <v>40502.54</v>
      </c>
      <c r="AB28" s="412">
        <f t="shared" si="23"/>
        <v>31155.8</v>
      </c>
      <c r="AC28" s="412">
        <f t="shared" si="24"/>
        <v>517186.27999999997</v>
      </c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</row>
    <row r="29" spans="1:39" s="421" customFormat="1" x14ac:dyDescent="0.25">
      <c r="A29" s="422" t="s">
        <v>832</v>
      </c>
      <c r="B29" s="422">
        <v>1</v>
      </c>
      <c r="C29" s="423">
        <v>8127.6</v>
      </c>
      <c r="D29" s="412">
        <f t="shared" si="13"/>
        <v>8127.6</v>
      </c>
      <c r="E29" s="424">
        <v>0.15</v>
      </c>
      <c r="F29" s="412">
        <f t="shared" si="14"/>
        <v>1219.1400000000001</v>
      </c>
      <c r="G29" s="425"/>
      <c r="H29" s="412">
        <f t="shared" si="15"/>
        <v>0</v>
      </c>
      <c r="I29" s="424"/>
      <c r="J29" s="412">
        <f t="shared" si="16"/>
        <v>0</v>
      </c>
      <c r="K29" s="425"/>
      <c r="L29" s="412">
        <f t="shared" si="17"/>
        <v>0</v>
      </c>
      <c r="M29" s="425"/>
      <c r="N29" s="412">
        <f t="shared" si="18"/>
        <v>0</v>
      </c>
      <c r="O29" s="412"/>
      <c r="P29" s="412">
        <v>0</v>
      </c>
      <c r="Q29" s="412"/>
      <c r="R29" s="412">
        <f t="shared" si="19"/>
        <v>0</v>
      </c>
      <c r="S29" s="425"/>
      <c r="T29" s="423"/>
      <c r="U29" s="412">
        <f t="shared" si="20"/>
        <v>9346.74</v>
      </c>
      <c r="V29" s="412">
        <f>(12130*B29)-U29</f>
        <v>2783.26</v>
      </c>
      <c r="W29" s="411">
        <v>80</v>
      </c>
      <c r="X29" s="412">
        <f t="shared" si="25"/>
        <v>9704</v>
      </c>
      <c r="Y29" s="411">
        <v>80</v>
      </c>
      <c r="Z29" s="412">
        <f t="shared" si="21"/>
        <v>9704</v>
      </c>
      <c r="AA29" s="412">
        <f t="shared" si="22"/>
        <v>31538</v>
      </c>
      <c r="AB29" s="412">
        <f t="shared" si="23"/>
        <v>21131.760000000002</v>
      </c>
      <c r="AC29" s="412">
        <f t="shared" si="24"/>
        <v>399587.76</v>
      </c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</row>
    <row r="30" spans="1:39" x14ac:dyDescent="0.25">
      <c r="A30" s="422" t="s">
        <v>833</v>
      </c>
      <c r="B30" s="422">
        <v>0.5</v>
      </c>
      <c r="C30" s="423">
        <v>13546</v>
      </c>
      <c r="D30" s="412">
        <f t="shared" si="13"/>
        <v>6773</v>
      </c>
      <c r="E30" s="424">
        <v>0.15</v>
      </c>
      <c r="F30" s="412">
        <f t="shared" si="14"/>
        <v>1015.9499999999999</v>
      </c>
      <c r="G30" s="425"/>
      <c r="H30" s="412">
        <f t="shared" si="15"/>
        <v>0</v>
      </c>
      <c r="I30" s="424"/>
      <c r="J30" s="412">
        <f t="shared" si="16"/>
        <v>0</v>
      </c>
      <c r="K30" s="425"/>
      <c r="L30" s="412">
        <f t="shared" si="17"/>
        <v>0</v>
      </c>
      <c r="M30" s="425"/>
      <c r="N30" s="412">
        <f t="shared" si="18"/>
        <v>0</v>
      </c>
      <c r="O30" s="412"/>
      <c r="P30" s="412">
        <v>0</v>
      </c>
      <c r="Q30" s="412"/>
      <c r="R30" s="412">
        <f t="shared" si="19"/>
        <v>0</v>
      </c>
      <c r="S30" s="425"/>
      <c r="T30" s="423"/>
      <c r="U30" s="412">
        <f t="shared" si="20"/>
        <v>7788.95</v>
      </c>
      <c r="V30" s="412"/>
      <c r="W30" s="411">
        <v>80</v>
      </c>
      <c r="X30" s="412">
        <f t="shared" si="25"/>
        <v>6231.16</v>
      </c>
      <c r="Y30" s="411">
        <v>80</v>
      </c>
      <c r="Z30" s="412">
        <f t="shared" si="21"/>
        <v>6231.16</v>
      </c>
      <c r="AA30" s="412">
        <f t="shared" si="22"/>
        <v>20251.27</v>
      </c>
      <c r="AB30" s="412">
        <f t="shared" si="23"/>
        <v>17609.8</v>
      </c>
      <c r="AC30" s="412">
        <f t="shared" si="24"/>
        <v>260625.03999999998</v>
      </c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</row>
    <row r="31" spans="1:39" x14ac:dyDescent="0.25">
      <c r="A31" s="422" t="s">
        <v>834</v>
      </c>
      <c r="B31" s="422">
        <v>0.5</v>
      </c>
      <c r="C31" s="423">
        <v>13546</v>
      </c>
      <c r="D31" s="412">
        <f t="shared" si="13"/>
        <v>6773</v>
      </c>
      <c r="E31" s="424">
        <v>0.15</v>
      </c>
      <c r="F31" s="412">
        <f t="shared" si="14"/>
        <v>1015.9499999999999</v>
      </c>
      <c r="G31" s="425"/>
      <c r="H31" s="412">
        <f t="shared" si="15"/>
        <v>0</v>
      </c>
      <c r="I31" s="424"/>
      <c r="J31" s="412">
        <f t="shared" si="16"/>
        <v>0</v>
      </c>
      <c r="K31" s="425"/>
      <c r="L31" s="412">
        <f t="shared" si="17"/>
        <v>0</v>
      </c>
      <c r="M31" s="425"/>
      <c r="N31" s="412">
        <f t="shared" si="18"/>
        <v>0</v>
      </c>
      <c r="O31" s="412"/>
      <c r="P31" s="412">
        <v>0</v>
      </c>
      <c r="Q31" s="412"/>
      <c r="R31" s="412">
        <f t="shared" si="19"/>
        <v>0</v>
      </c>
      <c r="S31" s="425"/>
      <c r="T31" s="423"/>
      <c r="U31" s="412">
        <f t="shared" si="20"/>
        <v>7788.95</v>
      </c>
      <c r="V31" s="412">
        <v>0</v>
      </c>
      <c r="W31" s="411">
        <v>80</v>
      </c>
      <c r="X31" s="412">
        <f t="shared" si="25"/>
        <v>6231.16</v>
      </c>
      <c r="Y31" s="411">
        <v>80</v>
      </c>
      <c r="Z31" s="412">
        <f t="shared" si="21"/>
        <v>6231.16</v>
      </c>
      <c r="AA31" s="412">
        <f t="shared" si="22"/>
        <v>20251.27</v>
      </c>
      <c r="AB31" s="412">
        <f t="shared" si="23"/>
        <v>17609.8</v>
      </c>
      <c r="AC31" s="412">
        <f t="shared" si="24"/>
        <v>260625.03999999998</v>
      </c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</row>
    <row r="32" spans="1:39" x14ac:dyDescent="0.25">
      <c r="A32" s="422" t="s">
        <v>835</v>
      </c>
      <c r="B32" s="422">
        <v>1</v>
      </c>
      <c r="C32" s="423">
        <v>12399.8</v>
      </c>
      <c r="D32" s="412">
        <f t="shared" si="13"/>
        <v>12399.8</v>
      </c>
      <c r="E32" s="424">
        <v>0.3</v>
      </c>
      <c r="F32" s="412">
        <f t="shared" si="14"/>
        <v>3719.9399999999996</v>
      </c>
      <c r="G32" s="425"/>
      <c r="H32" s="412">
        <f t="shared" si="15"/>
        <v>0</v>
      </c>
      <c r="I32" s="424"/>
      <c r="J32" s="412">
        <f t="shared" si="16"/>
        <v>0</v>
      </c>
      <c r="K32" s="425"/>
      <c r="L32" s="412">
        <f t="shared" si="17"/>
        <v>0</v>
      </c>
      <c r="M32" s="425"/>
      <c r="N32" s="412">
        <f t="shared" si="18"/>
        <v>0</v>
      </c>
      <c r="O32" s="412"/>
      <c r="P32" s="412">
        <v>0</v>
      </c>
      <c r="Q32" s="412"/>
      <c r="R32" s="412">
        <f t="shared" si="19"/>
        <v>0</v>
      </c>
      <c r="S32" s="425"/>
      <c r="T32" s="423"/>
      <c r="U32" s="412">
        <f>D32+F32+H32+J32+L32+N32+P32+R32+T32</f>
        <v>16119.739999999998</v>
      </c>
      <c r="V32" s="412">
        <v>0</v>
      </c>
      <c r="W32" s="411">
        <v>80</v>
      </c>
      <c r="X32" s="412">
        <f t="shared" si="25"/>
        <v>12895.791999999998</v>
      </c>
      <c r="Y32" s="411">
        <v>80</v>
      </c>
      <c r="Z32" s="412">
        <f t="shared" si="21"/>
        <v>12895.791999999998</v>
      </c>
      <c r="AA32" s="412">
        <f t="shared" si="22"/>
        <v>41911.323999999993</v>
      </c>
      <c r="AB32" s="412">
        <f t="shared" si="23"/>
        <v>32239.48</v>
      </c>
      <c r="AC32" s="412">
        <f t="shared" si="24"/>
        <v>535175.3679999999</v>
      </c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</row>
    <row r="33" spans="1:39" x14ac:dyDescent="0.25">
      <c r="A33" s="422" t="s">
        <v>836</v>
      </c>
      <c r="B33" s="422">
        <v>1</v>
      </c>
      <c r="C33" s="423">
        <v>7189.8</v>
      </c>
      <c r="D33" s="412">
        <f t="shared" si="13"/>
        <v>7189.8</v>
      </c>
      <c r="E33" s="424">
        <v>0.2</v>
      </c>
      <c r="F33" s="412">
        <f t="shared" si="14"/>
        <v>1437.96</v>
      </c>
      <c r="G33" s="425"/>
      <c r="H33" s="412">
        <f t="shared" si="15"/>
        <v>0</v>
      </c>
      <c r="I33" s="424"/>
      <c r="J33" s="412">
        <f t="shared" si="16"/>
        <v>0</v>
      </c>
      <c r="K33" s="425"/>
      <c r="L33" s="412">
        <f t="shared" si="17"/>
        <v>0</v>
      </c>
      <c r="M33" s="425"/>
      <c r="N33" s="412">
        <f t="shared" si="18"/>
        <v>0</v>
      </c>
      <c r="O33" s="412"/>
      <c r="P33" s="412">
        <v>0</v>
      </c>
      <c r="Q33" s="412"/>
      <c r="R33" s="412">
        <f t="shared" si="19"/>
        <v>0</v>
      </c>
      <c r="S33" s="425"/>
      <c r="T33" s="423"/>
      <c r="U33" s="412">
        <f t="shared" si="20"/>
        <v>8627.76</v>
      </c>
      <c r="V33" s="412">
        <f>(12130*B33)-U33</f>
        <v>3502.24</v>
      </c>
      <c r="W33" s="411">
        <v>80</v>
      </c>
      <c r="X33" s="412">
        <f t="shared" si="25"/>
        <v>9704</v>
      </c>
      <c r="Y33" s="411">
        <v>80</v>
      </c>
      <c r="Z33" s="412">
        <f t="shared" si="21"/>
        <v>9704</v>
      </c>
      <c r="AA33" s="412">
        <f t="shared" si="22"/>
        <v>31538</v>
      </c>
      <c r="AB33" s="412">
        <f t="shared" si="23"/>
        <v>18693.48</v>
      </c>
      <c r="AC33" s="412">
        <f t="shared" si="24"/>
        <v>397149.48</v>
      </c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</row>
    <row r="34" spans="1:39" x14ac:dyDescent="0.25">
      <c r="A34" s="422" t="s">
        <v>836</v>
      </c>
      <c r="B34" s="422">
        <v>0.1</v>
      </c>
      <c r="C34" s="423">
        <v>7189.8</v>
      </c>
      <c r="D34" s="412">
        <f t="shared" si="13"/>
        <v>718.98</v>
      </c>
      <c r="E34" s="424">
        <v>0.3</v>
      </c>
      <c r="F34" s="412">
        <f t="shared" si="14"/>
        <v>215.69399999999999</v>
      </c>
      <c r="G34" s="425"/>
      <c r="H34" s="412">
        <f t="shared" si="15"/>
        <v>0</v>
      </c>
      <c r="I34" s="424"/>
      <c r="J34" s="412">
        <f t="shared" si="16"/>
        <v>0</v>
      </c>
      <c r="K34" s="425"/>
      <c r="L34" s="412">
        <f t="shared" si="17"/>
        <v>0</v>
      </c>
      <c r="M34" s="425"/>
      <c r="N34" s="412">
        <f t="shared" si="18"/>
        <v>0</v>
      </c>
      <c r="O34" s="412"/>
      <c r="P34" s="412">
        <v>0</v>
      </c>
      <c r="Q34" s="412"/>
      <c r="R34" s="412">
        <f t="shared" si="19"/>
        <v>0</v>
      </c>
      <c r="S34" s="425"/>
      <c r="T34" s="423"/>
      <c r="U34" s="412">
        <f t="shared" si="20"/>
        <v>934.67399999999998</v>
      </c>
      <c r="V34" s="412">
        <f>(12130*B34)-U34</f>
        <v>278.32600000000002</v>
      </c>
      <c r="W34" s="411">
        <v>80</v>
      </c>
      <c r="X34" s="412">
        <f t="shared" si="25"/>
        <v>970.4</v>
      </c>
      <c r="Y34" s="411">
        <v>80</v>
      </c>
      <c r="Z34" s="412">
        <f t="shared" si="21"/>
        <v>970.4</v>
      </c>
      <c r="AA34" s="412">
        <f>D34+F34+H34+J34+X34+Z34+L34+N34+T34+P34+R34+V34</f>
        <v>3153.8</v>
      </c>
      <c r="AB34" s="412">
        <f t="shared" si="23"/>
        <v>1869.3480000000002</v>
      </c>
      <c r="AC34" s="412">
        <f t="shared" si="24"/>
        <v>39714.948000000004</v>
      </c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</row>
    <row r="35" spans="1:39" s="421" customFormat="1" x14ac:dyDescent="0.25">
      <c r="A35" s="422" t="s">
        <v>837</v>
      </c>
      <c r="B35" s="422">
        <v>1</v>
      </c>
      <c r="C35" s="423">
        <v>7189.8</v>
      </c>
      <c r="D35" s="412">
        <f t="shared" si="13"/>
        <v>7189.8</v>
      </c>
      <c r="E35" s="424">
        <v>0.3</v>
      </c>
      <c r="F35" s="412">
        <f t="shared" si="14"/>
        <v>2156.94</v>
      </c>
      <c r="G35" s="425"/>
      <c r="H35" s="412">
        <f t="shared" si="15"/>
        <v>0</v>
      </c>
      <c r="I35" s="424">
        <v>0.08</v>
      </c>
      <c r="J35" s="423">
        <f t="shared" ref="J35:J41" si="26">D35*I35</f>
        <v>575.18400000000008</v>
      </c>
      <c r="K35" s="425"/>
      <c r="L35" s="412">
        <f t="shared" si="17"/>
        <v>0</v>
      </c>
      <c r="M35" s="425"/>
      <c r="N35" s="412">
        <f t="shared" si="18"/>
        <v>0</v>
      </c>
      <c r="O35" s="412"/>
      <c r="P35" s="412">
        <v>0</v>
      </c>
      <c r="Q35" s="412"/>
      <c r="R35" s="412">
        <f t="shared" si="19"/>
        <v>0</v>
      </c>
      <c r="S35" s="425"/>
      <c r="T35" s="423"/>
      <c r="U35" s="412">
        <f t="shared" si="20"/>
        <v>9921.9239999999991</v>
      </c>
      <c r="V35" s="412">
        <f t="shared" ref="V35:V41" si="27">(12130*B35)-U35+J35+T35</f>
        <v>2783.2600000000011</v>
      </c>
      <c r="W35" s="411">
        <v>80</v>
      </c>
      <c r="X35" s="412">
        <f>(U35+V35)*W35/100</f>
        <v>10164.147200000001</v>
      </c>
      <c r="Y35" s="411">
        <v>80</v>
      </c>
      <c r="Z35" s="412">
        <f t="shared" si="21"/>
        <v>10164.147200000001</v>
      </c>
      <c r="AA35" s="412">
        <f t="shared" ref="AA35:AA41" si="28">D35+F35+H35+J35+X35+Z35+L35+N35+T35+P35+R35+V35</f>
        <v>33033.4784</v>
      </c>
      <c r="AB35" s="412">
        <f t="shared" si="23"/>
        <v>18693.48</v>
      </c>
      <c r="AC35" s="412">
        <f t="shared" si="24"/>
        <v>415095.22080000001</v>
      </c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</row>
    <row r="36" spans="1:39" s="421" customFormat="1" x14ac:dyDescent="0.25">
      <c r="A36" s="422" t="s">
        <v>227</v>
      </c>
      <c r="B36" s="422">
        <v>1</v>
      </c>
      <c r="C36" s="423">
        <v>7189.8</v>
      </c>
      <c r="D36" s="412">
        <f t="shared" si="13"/>
        <v>7189.8</v>
      </c>
      <c r="E36" s="424">
        <v>0.3</v>
      </c>
      <c r="F36" s="412">
        <f t="shared" si="14"/>
        <v>2156.94</v>
      </c>
      <c r="G36" s="425"/>
      <c r="H36" s="412">
        <f t="shared" si="15"/>
        <v>0</v>
      </c>
      <c r="I36" s="424"/>
      <c r="J36" s="423">
        <f t="shared" si="26"/>
        <v>0</v>
      </c>
      <c r="K36" s="425"/>
      <c r="L36" s="412">
        <f t="shared" si="17"/>
        <v>0</v>
      </c>
      <c r="M36" s="425"/>
      <c r="N36" s="412">
        <f t="shared" si="18"/>
        <v>0</v>
      </c>
      <c r="O36" s="412"/>
      <c r="P36" s="412">
        <v>0</v>
      </c>
      <c r="Q36" s="412"/>
      <c r="R36" s="412">
        <f t="shared" si="19"/>
        <v>0</v>
      </c>
      <c r="S36" s="425"/>
      <c r="T36" s="423">
        <f>2516.43</f>
        <v>2516.4299999999998</v>
      </c>
      <c r="U36" s="412">
        <f t="shared" si="20"/>
        <v>11863.17</v>
      </c>
      <c r="V36" s="412">
        <f t="shared" si="27"/>
        <v>2783.2599999999998</v>
      </c>
      <c r="W36" s="411">
        <v>80</v>
      </c>
      <c r="X36" s="412">
        <f t="shared" si="25"/>
        <v>11717.143999999998</v>
      </c>
      <c r="Y36" s="411">
        <v>80</v>
      </c>
      <c r="Z36" s="412">
        <f t="shared" si="21"/>
        <v>11717.143999999998</v>
      </c>
      <c r="AA36" s="412">
        <f t="shared" si="28"/>
        <v>38080.718000000001</v>
      </c>
      <c r="AB36" s="412">
        <f t="shared" si="23"/>
        <v>18693.48</v>
      </c>
      <c r="AC36" s="412">
        <f t="shared" si="24"/>
        <v>475662.09600000002</v>
      </c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</row>
    <row r="37" spans="1:39" s="421" customFormat="1" x14ac:dyDescent="0.25">
      <c r="A37" s="422" t="s">
        <v>227</v>
      </c>
      <c r="B37" s="422">
        <v>1</v>
      </c>
      <c r="C37" s="423">
        <v>7189.8</v>
      </c>
      <c r="D37" s="412">
        <f>C37*B37</f>
        <v>7189.8</v>
      </c>
      <c r="E37" s="424">
        <v>0.3</v>
      </c>
      <c r="F37" s="412">
        <f>D37*E37</f>
        <v>2156.94</v>
      </c>
      <c r="G37" s="425"/>
      <c r="H37" s="412">
        <f>D37*G37</f>
        <v>0</v>
      </c>
      <c r="I37" s="424"/>
      <c r="J37" s="423">
        <f>D37*I37</f>
        <v>0</v>
      </c>
      <c r="K37" s="425"/>
      <c r="L37" s="412">
        <f>D37*K37</f>
        <v>0</v>
      </c>
      <c r="M37" s="425"/>
      <c r="N37" s="412">
        <f>D37*M37</f>
        <v>0</v>
      </c>
      <c r="O37" s="412"/>
      <c r="P37" s="412">
        <v>0</v>
      </c>
      <c r="Q37" s="412"/>
      <c r="R37" s="412">
        <f>D37*Q37</f>
        <v>0</v>
      </c>
      <c r="S37" s="425"/>
      <c r="T37" s="423">
        <f>2516.43</f>
        <v>2516.4299999999998</v>
      </c>
      <c r="U37" s="412">
        <f>D37+F37+H37+J37+L37+N37+P37+R37+T37</f>
        <v>11863.17</v>
      </c>
      <c r="V37" s="412">
        <f t="shared" si="27"/>
        <v>2783.2599999999998</v>
      </c>
      <c r="W37" s="411">
        <v>80</v>
      </c>
      <c r="X37" s="412">
        <f>(U37+V37)*W37/100</f>
        <v>11717.143999999998</v>
      </c>
      <c r="Y37" s="411">
        <v>80</v>
      </c>
      <c r="Z37" s="412">
        <f>(U37+V37)*Y37/100</f>
        <v>11717.143999999998</v>
      </c>
      <c r="AA37" s="412">
        <f>D37+F37+H37+J37+X37+Z37+L37+N37+T37+P37+R37+V37</f>
        <v>38080.718000000001</v>
      </c>
      <c r="AB37" s="412">
        <f>D37*2.6</f>
        <v>18693.48</v>
      </c>
      <c r="AC37" s="412">
        <f>(AA37*12)+AB37</f>
        <v>475662.09600000002</v>
      </c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</row>
    <row r="38" spans="1:39" ht="30" x14ac:dyDescent="0.25">
      <c r="A38" s="422" t="s">
        <v>838</v>
      </c>
      <c r="B38" s="422">
        <f>5.25</f>
        <v>5.25</v>
      </c>
      <c r="C38" s="423">
        <v>7189.8</v>
      </c>
      <c r="D38" s="412">
        <f t="shared" si="13"/>
        <v>37746.450000000004</v>
      </c>
      <c r="E38" s="424">
        <v>0.3</v>
      </c>
      <c r="F38" s="412">
        <f t="shared" si="14"/>
        <v>11323.935000000001</v>
      </c>
      <c r="G38" s="425"/>
      <c r="H38" s="412">
        <f t="shared" si="15"/>
        <v>0</v>
      </c>
      <c r="I38" s="424">
        <v>0.08</v>
      </c>
      <c r="J38" s="423">
        <f t="shared" si="26"/>
        <v>3019.7160000000003</v>
      </c>
      <c r="K38" s="425"/>
      <c r="L38" s="412">
        <f t="shared" si="17"/>
        <v>0</v>
      </c>
      <c r="M38" s="425"/>
      <c r="N38" s="412">
        <f t="shared" si="18"/>
        <v>0</v>
      </c>
      <c r="O38" s="412"/>
      <c r="P38" s="412">
        <v>0</v>
      </c>
      <c r="Q38" s="412"/>
      <c r="R38" s="412">
        <f t="shared" si="19"/>
        <v>0</v>
      </c>
      <c r="S38" s="425"/>
      <c r="T38" s="423"/>
      <c r="U38" s="412">
        <f t="shared" si="20"/>
        <v>52090.10100000001</v>
      </c>
      <c r="V38" s="412">
        <f t="shared" si="27"/>
        <v>14612.114999999991</v>
      </c>
      <c r="W38" s="411">
        <v>80</v>
      </c>
      <c r="X38" s="412">
        <f t="shared" si="25"/>
        <v>53361.772800000006</v>
      </c>
      <c r="Y38" s="411">
        <v>80</v>
      </c>
      <c r="Z38" s="412">
        <f t="shared" si="21"/>
        <v>53361.772800000006</v>
      </c>
      <c r="AA38" s="412">
        <f t="shared" si="28"/>
        <v>173425.76160000003</v>
      </c>
      <c r="AB38" s="412">
        <f t="shared" si="23"/>
        <v>98140.770000000019</v>
      </c>
      <c r="AC38" s="412">
        <f t="shared" si="24"/>
        <v>2179249.9092000006</v>
      </c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</row>
    <row r="39" spans="1:39" ht="30" x14ac:dyDescent="0.25">
      <c r="A39" s="422" t="s">
        <v>838</v>
      </c>
      <c r="B39" s="422">
        <v>0.75</v>
      </c>
      <c r="C39" s="423">
        <v>7189.8</v>
      </c>
      <c r="D39" s="412">
        <f>C39*B39</f>
        <v>5392.35</v>
      </c>
      <c r="E39" s="424">
        <v>0.3</v>
      </c>
      <c r="F39" s="412">
        <f>D39*E39</f>
        <v>1617.7050000000002</v>
      </c>
      <c r="G39" s="425"/>
      <c r="H39" s="412">
        <f>D39*G39</f>
        <v>0</v>
      </c>
      <c r="I39" s="424">
        <v>0.08</v>
      </c>
      <c r="J39" s="423">
        <f>D39*I39</f>
        <v>431.38800000000003</v>
      </c>
      <c r="K39" s="425"/>
      <c r="L39" s="412">
        <f>D39*K39</f>
        <v>0</v>
      </c>
      <c r="M39" s="425"/>
      <c r="N39" s="412">
        <f>D39*M39</f>
        <v>0</v>
      </c>
      <c r="O39" s="412"/>
      <c r="P39" s="412">
        <v>0</v>
      </c>
      <c r="Q39" s="412"/>
      <c r="R39" s="412">
        <f>D39*Q39</f>
        <v>0</v>
      </c>
      <c r="S39" s="425"/>
      <c r="T39" s="423"/>
      <c r="U39" s="412">
        <f>D39+F39+H39+J39+L39+N39+P39+R39+T39</f>
        <v>7441.4430000000002</v>
      </c>
      <c r="V39" s="412">
        <f t="shared" si="27"/>
        <v>2087.4449999999997</v>
      </c>
      <c r="W39" s="411">
        <v>80</v>
      </c>
      <c r="X39" s="412">
        <f>(U39+V39)*W39/100</f>
        <v>7623.1103999999996</v>
      </c>
      <c r="Y39" s="411">
        <v>80</v>
      </c>
      <c r="Z39" s="412">
        <f>(U39+V39)*Y39/100</f>
        <v>7623.1103999999996</v>
      </c>
      <c r="AA39" s="412">
        <f>D39+F39+H39+J39+X39+Z39+L39+N39+T39+P39+R39+V39</f>
        <v>24775.108800000002</v>
      </c>
      <c r="AB39" s="412">
        <f>D39*2.6</f>
        <v>14020.11</v>
      </c>
      <c r="AC39" s="412">
        <f>(AA39*12)+AB39</f>
        <v>311321.41560000001</v>
      </c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</row>
    <row r="40" spans="1:39" x14ac:dyDescent="0.25">
      <c r="A40" s="422" t="s">
        <v>839</v>
      </c>
      <c r="B40" s="422">
        <v>0.5</v>
      </c>
      <c r="C40" s="423">
        <v>7189.8</v>
      </c>
      <c r="D40" s="412">
        <f t="shared" si="13"/>
        <v>3594.9</v>
      </c>
      <c r="E40" s="424">
        <v>0.3</v>
      </c>
      <c r="F40" s="412">
        <f t="shared" si="14"/>
        <v>1078.47</v>
      </c>
      <c r="G40" s="425"/>
      <c r="H40" s="412">
        <f t="shared" si="15"/>
        <v>0</v>
      </c>
      <c r="I40" s="424">
        <v>0.08</v>
      </c>
      <c r="J40" s="423">
        <f t="shared" si="26"/>
        <v>287.59200000000004</v>
      </c>
      <c r="K40" s="425"/>
      <c r="L40" s="412">
        <f t="shared" si="17"/>
        <v>0</v>
      </c>
      <c r="M40" s="425"/>
      <c r="N40" s="412">
        <f t="shared" si="18"/>
        <v>0</v>
      </c>
      <c r="O40" s="412"/>
      <c r="P40" s="412">
        <v>0</v>
      </c>
      <c r="Q40" s="412"/>
      <c r="R40" s="412">
        <f t="shared" si="19"/>
        <v>0</v>
      </c>
      <c r="S40" s="425"/>
      <c r="T40" s="423"/>
      <c r="U40" s="412">
        <f t="shared" si="20"/>
        <v>4960.9619999999995</v>
      </c>
      <c r="V40" s="412">
        <f t="shared" si="27"/>
        <v>1391.6300000000006</v>
      </c>
      <c r="W40" s="411">
        <v>80</v>
      </c>
      <c r="X40" s="412">
        <f t="shared" si="25"/>
        <v>5082.0736000000006</v>
      </c>
      <c r="Y40" s="411">
        <v>80</v>
      </c>
      <c r="Z40" s="412">
        <f t="shared" si="21"/>
        <v>5082.0736000000006</v>
      </c>
      <c r="AA40" s="412">
        <f t="shared" si="28"/>
        <v>16516.7392</v>
      </c>
      <c r="AB40" s="412">
        <f t="shared" si="23"/>
        <v>9346.74</v>
      </c>
      <c r="AC40" s="412">
        <f t="shared" si="24"/>
        <v>207547.61040000001</v>
      </c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</row>
    <row r="41" spans="1:39" ht="30" x14ac:dyDescent="0.25">
      <c r="A41" s="422" t="s">
        <v>840</v>
      </c>
      <c r="B41" s="422">
        <v>1</v>
      </c>
      <c r="C41" s="423">
        <v>7710.8</v>
      </c>
      <c r="D41" s="412">
        <f t="shared" si="13"/>
        <v>7710.8</v>
      </c>
      <c r="E41" s="424">
        <v>0.3</v>
      </c>
      <c r="F41" s="412">
        <f t="shared" si="14"/>
        <v>2313.2399999999998</v>
      </c>
      <c r="G41" s="425"/>
      <c r="H41" s="412">
        <f t="shared" si="15"/>
        <v>0</v>
      </c>
      <c r="I41" s="424">
        <v>0.08</v>
      </c>
      <c r="J41" s="423">
        <f t="shared" si="26"/>
        <v>616.86400000000003</v>
      </c>
      <c r="K41" s="425"/>
      <c r="L41" s="412">
        <f t="shared" si="17"/>
        <v>0</v>
      </c>
      <c r="M41" s="425"/>
      <c r="N41" s="412">
        <f t="shared" si="18"/>
        <v>0</v>
      </c>
      <c r="O41" s="412"/>
      <c r="P41" s="412">
        <v>0</v>
      </c>
      <c r="Q41" s="412"/>
      <c r="R41" s="412">
        <f t="shared" si="19"/>
        <v>0</v>
      </c>
      <c r="S41" s="425"/>
      <c r="T41" s="423"/>
      <c r="U41" s="412">
        <f t="shared" si="20"/>
        <v>10640.904</v>
      </c>
      <c r="V41" s="423">
        <f t="shared" si="27"/>
        <v>2105.9599999999996</v>
      </c>
      <c r="W41" s="411">
        <v>80</v>
      </c>
      <c r="X41" s="412">
        <f t="shared" si="25"/>
        <v>10197.4912</v>
      </c>
      <c r="Y41" s="411">
        <v>80</v>
      </c>
      <c r="Z41" s="412">
        <f t="shared" si="21"/>
        <v>10197.4912</v>
      </c>
      <c r="AA41" s="412">
        <f t="shared" si="28"/>
        <v>33141.846400000002</v>
      </c>
      <c r="AB41" s="412">
        <f>D41*2.6</f>
        <v>20048.080000000002</v>
      </c>
      <c r="AC41" s="412">
        <f t="shared" si="24"/>
        <v>417750.23680000001</v>
      </c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</row>
    <row r="42" spans="1:39" s="426" customFormat="1" ht="29.25" x14ac:dyDescent="0.25">
      <c r="A42" s="416" t="s">
        <v>516</v>
      </c>
      <c r="B42" s="416">
        <f>SUM(B27:B41)</f>
        <v>16.600000000000001</v>
      </c>
      <c r="C42" s="416">
        <f>SUM(C27:C41)</f>
        <v>137335.6</v>
      </c>
      <c r="D42" s="416">
        <f>SUM(D27:D41)</f>
        <v>142483.07999999999</v>
      </c>
      <c r="E42" s="416"/>
      <c r="F42" s="416">
        <f>SUM(F27:F41)</f>
        <v>40025.303999999996</v>
      </c>
      <c r="G42" s="416"/>
      <c r="H42" s="416">
        <f>SUM(H27:H41)</f>
        <v>0</v>
      </c>
      <c r="I42" s="416"/>
      <c r="J42" s="416">
        <f>SUM(J27:J41)</f>
        <v>4930.7440000000006</v>
      </c>
      <c r="K42" s="416"/>
      <c r="L42" s="416">
        <f>SUM(L27:L41)</f>
        <v>0</v>
      </c>
      <c r="M42" s="416"/>
      <c r="N42" s="416">
        <f>SUM(N27:N41)</f>
        <v>0</v>
      </c>
      <c r="O42" s="416"/>
      <c r="P42" s="416">
        <f>SUM(P27:P41)</f>
        <v>0</v>
      </c>
      <c r="Q42" s="416"/>
      <c r="R42" s="416">
        <f>SUM(R27:R41)</f>
        <v>0</v>
      </c>
      <c r="S42" s="416"/>
      <c r="T42" s="416">
        <f>SUM(T27:T41)</f>
        <v>5032.8599999999997</v>
      </c>
      <c r="U42" s="416">
        <f>SUM(U27:U41)</f>
        <v>192471.98800000001</v>
      </c>
      <c r="V42" s="416">
        <f>SUM(V27:V41)</f>
        <v>35110.755999999987</v>
      </c>
      <c r="W42" s="416"/>
      <c r="X42" s="416">
        <f>SUM(X27:X41)</f>
        <v>182066.19520000002</v>
      </c>
      <c r="Y42" s="416"/>
      <c r="Z42" s="416">
        <f>SUM(Z27:Z41)</f>
        <v>182066.19520000002</v>
      </c>
      <c r="AA42" s="416">
        <f>SUM(AA27:AA41)</f>
        <v>591715.13439999998</v>
      </c>
      <c r="AB42" s="416">
        <f>SUM(AB27:AB41)</f>
        <v>370456.00800000009</v>
      </c>
      <c r="AC42" s="416">
        <f>SUM(AC27:AC41)</f>
        <v>7471037.6207999997</v>
      </c>
      <c r="AD42" s="419"/>
      <c r="AE42" s="419"/>
      <c r="AF42" s="419"/>
      <c r="AG42" s="419"/>
      <c r="AH42" s="419"/>
      <c r="AI42" s="419"/>
      <c r="AJ42" s="419"/>
      <c r="AK42" s="419"/>
      <c r="AL42" s="419"/>
      <c r="AM42" s="419"/>
    </row>
    <row r="43" spans="1:39" s="421" customFormat="1" x14ac:dyDescent="0.25">
      <c r="A43" s="427" t="s">
        <v>841</v>
      </c>
      <c r="B43" s="427">
        <v>0.25</v>
      </c>
      <c r="C43" s="428">
        <v>7189.8</v>
      </c>
      <c r="D43" s="428">
        <f>C43*B43</f>
        <v>1797.45</v>
      </c>
      <c r="E43" s="429">
        <v>0.3</v>
      </c>
      <c r="F43" s="428">
        <f>D43*E43</f>
        <v>539.23500000000001</v>
      </c>
      <c r="G43" s="430"/>
      <c r="H43" s="428">
        <f>D43*G43</f>
        <v>0</v>
      </c>
      <c r="I43" s="429">
        <v>0.08</v>
      </c>
      <c r="J43" s="428">
        <f>D43*I43</f>
        <v>143.79600000000002</v>
      </c>
      <c r="K43" s="430"/>
      <c r="L43" s="428">
        <f>D43*K43</f>
        <v>0</v>
      </c>
      <c r="M43" s="430"/>
      <c r="N43" s="428">
        <f>D43*M43</f>
        <v>0</v>
      </c>
      <c r="O43" s="428"/>
      <c r="P43" s="428">
        <v>0</v>
      </c>
      <c r="Q43" s="428"/>
      <c r="R43" s="428">
        <f>D43*Q43</f>
        <v>0</v>
      </c>
      <c r="S43" s="430"/>
      <c r="T43" s="428"/>
      <c r="U43" s="428">
        <f>D43+F43+H43+J43+L43+N43+P43+R43+T43</f>
        <v>2480.4809999999998</v>
      </c>
      <c r="V43" s="431">
        <f>(12130*B43)-U43+J43+T43</f>
        <v>695.81500000000028</v>
      </c>
      <c r="W43" s="427">
        <v>80</v>
      </c>
      <c r="X43" s="428">
        <f>(U43+V43)*W43/100</f>
        <v>2541.0368000000003</v>
      </c>
      <c r="Y43" s="427">
        <v>80</v>
      </c>
      <c r="Z43" s="428">
        <f>(U43+V43)*Y43/100</f>
        <v>2541.0368000000003</v>
      </c>
      <c r="AA43" s="428">
        <f>D43+F43+H43+J43+X43+Z43+L43+N43+T43+P43+R43+V43</f>
        <v>8258.3696</v>
      </c>
      <c r="AB43" s="428">
        <f>D43*2.6</f>
        <v>4673.37</v>
      </c>
      <c r="AC43" s="428">
        <f>(AA43*12)+AB43</f>
        <v>103773.8052</v>
      </c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</row>
    <row r="44" spans="1:39" x14ac:dyDescent="0.25">
      <c r="A44" s="432" t="s">
        <v>842</v>
      </c>
      <c r="B44" s="432">
        <v>0.75</v>
      </c>
      <c r="C44" s="431">
        <v>7710.8</v>
      </c>
      <c r="D44" s="431">
        <f>C44*B44</f>
        <v>5783.1</v>
      </c>
      <c r="E44" s="433">
        <v>0.3</v>
      </c>
      <c r="F44" s="431">
        <f>D44*E44</f>
        <v>1734.93</v>
      </c>
      <c r="G44" s="434"/>
      <c r="H44" s="431">
        <f>D44*G44</f>
        <v>0</v>
      </c>
      <c r="I44" s="433">
        <v>0.08</v>
      </c>
      <c r="J44" s="431">
        <f>D44*I44</f>
        <v>462.64800000000002</v>
      </c>
      <c r="K44" s="434"/>
      <c r="L44" s="431">
        <f>D44*K44</f>
        <v>0</v>
      </c>
      <c r="M44" s="434"/>
      <c r="N44" s="431">
        <f>D44*M44</f>
        <v>0</v>
      </c>
      <c r="O44" s="431"/>
      <c r="P44" s="431">
        <v>0</v>
      </c>
      <c r="Q44" s="431"/>
      <c r="R44" s="431">
        <f>D44*Q44</f>
        <v>0</v>
      </c>
      <c r="S44" s="434"/>
      <c r="T44" s="431"/>
      <c r="U44" s="431">
        <f>D44+F44+H44+J44+L44+N44+P44+R44+T44</f>
        <v>7980.6780000000008</v>
      </c>
      <c r="V44" s="431">
        <f>(12130*B44)-U44+J44+T44</f>
        <v>1579.4699999999993</v>
      </c>
      <c r="W44" s="432">
        <v>80</v>
      </c>
      <c r="X44" s="431">
        <f>(U44+V44)*W44/100</f>
        <v>7648.1184000000012</v>
      </c>
      <c r="Y44" s="432">
        <v>80</v>
      </c>
      <c r="Z44" s="431">
        <f>(U44+V44)*Y44/100</f>
        <v>7648.1184000000012</v>
      </c>
      <c r="AA44" s="431">
        <f>D44+F44+H44+J44+X44+Z44+L44+N44+T44+P44+R44+V44</f>
        <v>24856.384800000007</v>
      </c>
      <c r="AB44" s="431">
        <f>D44*2.6</f>
        <v>15036.060000000001</v>
      </c>
      <c r="AC44" s="431">
        <f>(AA44*12)+AB44</f>
        <v>313312.67760000011</v>
      </c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</row>
    <row r="45" spans="1:39" s="426" customFormat="1" ht="29.25" x14ac:dyDescent="0.25">
      <c r="A45" s="416" t="s">
        <v>516</v>
      </c>
      <c r="B45" s="416">
        <f>SUM(B43:B44)</f>
        <v>1</v>
      </c>
      <c r="C45" s="416">
        <f t="shared" ref="C45:AC45" si="29">SUM(C43:C44)</f>
        <v>14900.6</v>
      </c>
      <c r="D45" s="416">
        <f t="shared" si="29"/>
        <v>7580.55</v>
      </c>
      <c r="E45" s="416">
        <f t="shared" si="29"/>
        <v>0.6</v>
      </c>
      <c r="F45" s="416">
        <f t="shared" si="29"/>
        <v>2274.165</v>
      </c>
      <c r="G45" s="416">
        <f t="shared" si="29"/>
        <v>0</v>
      </c>
      <c r="H45" s="416">
        <f t="shared" si="29"/>
        <v>0</v>
      </c>
      <c r="I45" s="416">
        <f t="shared" si="29"/>
        <v>0.16</v>
      </c>
      <c r="J45" s="416">
        <f t="shared" si="29"/>
        <v>606.44400000000007</v>
      </c>
      <c r="K45" s="416">
        <f t="shared" si="29"/>
        <v>0</v>
      </c>
      <c r="L45" s="416">
        <f t="shared" si="29"/>
        <v>0</v>
      </c>
      <c r="M45" s="416">
        <f t="shared" si="29"/>
        <v>0</v>
      </c>
      <c r="N45" s="416">
        <f t="shared" si="29"/>
        <v>0</v>
      </c>
      <c r="O45" s="416">
        <f t="shared" si="29"/>
        <v>0</v>
      </c>
      <c r="P45" s="416">
        <f t="shared" si="29"/>
        <v>0</v>
      </c>
      <c r="Q45" s="416">
        <f t="shared" si="29"/>
        <v>0</v>
      </c>
      <c r="R45" s="416">
        <f t="shared" si="29"/>
        <v>0</v>
      </c>
      <c r="S45" s="416">
        <f t="shared" si="29"/>
        <v>0</v>
      </c>
      <c r="T45" s="416">
        <f t="shared" si="29"/>
        <v>0</v>
      </c>
      <c r="U45" s="416">
        <f t="shared" si="29"/>
        <v>10461.159</v>
      </c>
      <c r="V45" s="416">
        <f t="shared" si="29"/>
        <v>2275.2849999999999</v>
      </c>
      <c r="W45" s="416"/>
      <c r="X45" s="416">
        <f t="shared" si="29"/>
        <v>10189.155200000001</v>
      </c>
      <c r="Y45" s="416"/>
      <c r="Z45" s="416">
        <f t="shared" si="29"/>
        <v>10189.155200000001</v>
      </c>
      <c r="AA45" s="416">
        <f t="shared" si="29"/>
        <v>33114.754400000005</v>
      </c>
      <c r="AB45" s="416">
        <f t="shared" si="29"/>
        <v>19709.43</v>
      </c>
      <c r="AC45" s="416">
        <f t="shared" si="29"/>
        <v>417086.48280000011</v>
      </c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</row>
    <row r="46" spans="1:39" s="421" customFormat="1" ht="22.5" customHeight="1" x14ac:dyDescent="0.25">
      <c r="A46" s="435" t="s">
        <v>517</v>
      </c>
      <c r="B46" s="425">
        <f>B25+B12+B42+B45</f>
        <v>42.13</v>
      </c>
      <c r="C46" s="425">
        <f t="shared" ref="C46:AC46" si="30">C25+C12+C42+C45</f>
        <v>380830.16000000003</v>
      </c>
      <c r="D46" s="425">
        <f t="shared" si="30"/>
        <v>514633.37999999995</v>
      </c>
      <c r="E46" s="425">
        <f t="shared" si="30"/>
        <v>0.6</v>
      </c>
      <c r="F46" s="425">
        <f t="shared" si="30"/>
        <v>91031.198999999979</v>
      </c>
      <c r="G46" s="425">
        <f t="shared" si="30"/>
        <v>0</v>
      </c>
      <c r="H46" s="425">
        <f t="shared" si="30"/>
        <v>0</v>
      </c>
      <c r="I46" s="425">
        <f t="shared" si="30"/>
        <v>0.16</v>
      </c>
      <c r="J46" s="425">
        <f t="shared" si="30"/>
        <v>5537.188000000001</v>
      </c>
      <c r="K46" s="425">
        <f t="shared" si="30"/>
        <v>0</v>
      </c>
      <c r="L46" s="425">
        <f t="shared" si="30"/>
        <v>22663.18</v>
      </c>
      <c r="M46" s="425">
        <f t="shared" si="30"/>
        <v>0</v>
      </c>
      <c r="N46" s="425">
        <f t="shared" si="30"/>
        <v>70957.595000000001</v>
      </c>
      <c r="O46" s="425">
        <f t="shared" si="30"/>
        <v>0</v>
      </c>
      <c r="P46" s="425">
        <f t="shared" si="30"/>
        <v>412049.49</v>
      </c>
      <c r="Q46" s="425">
        <f t="shared" si="30"/>
        <v>0</v>
      </c>
      <c r="R46" s="425">
        <f t="shared" si="30"/>
        <v>0</v>
      </c>
      <c r="S46" s="425">
        <f t="shared" si="30"/>
        <v>0</v>
      </c>
      <c r="T46" s="425">
        <f t="shared" si="30"/>
        <v>5032.8599999999997</v>
      </c>
      <c r="U46" s="425">
        <f t="shared" si="30"/>
        <v>709855.402</v>
      </c>
      <c r="V46" s="425">
        <f t="shared" si="30"/>
        <v>37386.040999999983</v>
      </c>
      <c r="W46" s="425">
        <f t="shared" si="30"/>
        <v>0</v>
      </c>
      <c r="X46" s="425">
        <f t="shared" si="30"/>
        <v>597793.15440000012</v>
      </c>
      <c r="Y46" s="425"/>
      <c r="Z46" s="425">
        <f t="shared" si="30"/>
        <v>597793.15440000012</v>
      </c>
      <c r="AA46" s="425">
        <f t="shared" si="30"/>
        <v>1942827.7518000002</v>
      </c>
      <c r="AB46" s="425">
        <f t="shared" si="30"/>
        <v>1240136.3</v>
      </c>
      <c r="AC46" s="425">
        <f t="shared" si="30"/>
        <v>24199035.923600003</v>
      </c>
      <c r="AE46" s="420"/>
      <c r="AF46" s="420"/>
      <c r="AG46" s="420"/>
      <c r="AH46" s="420"/>
      <c r="AI46" s="420"/>
      <c r="AJ46" s="420"/>
      <c r="AK46" s="420"/>
      <c r="AL46" s="420"/>
      <c r="AM46" s="420"/>
    </row>
    <row r="47" spans="1:39" x14ac:dyDescent="0.25">
      <c r="A47" s="405"/>
      <c r="B47" s="405"/>
      <c r="C47" s="436"/>
      <c r="D47" s="436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Y47" s="405"/>
      <c r="Z47" s="405"/>
      <c r="AA47" s="405"/>
      <c r="AB47" s="658"/>
      <c r="AC47" s="405"/>
      <c r="AD47" s="405"/>
      <c r="AF47" s="405"/>
      <c r="AG47" s="405"/>
      <c r="AH47" s="405"/>
      <c r="AI47" s="405"/>
      <c r="AJ47" s="405"/>
      <c r="AK47" s="405"/>
      <c r="AL47" s="405"/>
      <c r="AM47" s="405"/>
    </row>
    <row r="48" spans="1:39" ht="24" customHeight="1" x14ac:dyDescent="0.25">
      <c r="A48" s="405"/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05"/>
      <c r="AB48" s="658"/>
      <c r="AC48" s="438"/>
      <c r="AE48" s="405"/>
      <c r="AF48" s="405"/>
      <c r="AG48" s="405"/>
      <c r="AH48" s="405"/>
      <c r="AI48" s="405"/>
      <c r="AJ48" s="405"/>
      <c r="AK48" s="405"/>
      <c r="AL48" s="405"/>
      <c r="AM48" s="405"/>
    </row>
    <row r="49" spans="1:39" ht="27" customHeight="1" x14ac:dyDescent="0.25">
      <c r="A49" s="405"/>
      <c r="B49" s="405"/>
      <c r="C49" s="419"/>
      <c r="D49" s="419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658"/>
      <c r="AC49" s="438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</row>
    <row r="50" spans="1:39" x14ac:dyDescent="0.25">
      <c r="A50" s="405"/>
      <c r="B50" s="405"/>
      <c r="C50" s="419"/>
      <c r="D50" s="419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658"/>
      <c r="AC50" s="439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</row>
    <row r="51" spans="1:39" x14ac:dyDescent="0.25">
      <c r="A51" s="405"/>
      <c r="B51" s="405"/>
      <c r="C51" s="419"/>
      <c r="D51" s="419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</row>
    <row r="52" spans="1:39" x14ac:dyDescent="0.25">
      <c r="A52" s="405"/>
      <c r="B52" s="405"/>
      <c r="C52" s="405"/>
      <c r="D52" s="419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19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</row>
    <row r="53" spans="1:39" x14ac:dyDescent="0.25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</row>
    <row r="54" spans="1:39" x14ac:dyDescent="0.25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</row>
    <row r="55" spans="1:39" x14ac:dyDescent="0.25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</row>
    <row r="56" spans="1:39" x14ac:dyDescent="0.25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</row>
    <row r="57" spans="1:39" x14ac:dyDescent="0.25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</row>
    <row r="58" spans="1:39" x14ac:dyDescent="0.25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</row>
    <row r="59" spans="1:39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</row>
    <row r="60" spans="1:39" x14ac:dyDescent="0.25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</row>
    <row r="61" spans="1:39" x14ac:dyDescent="0.25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</row>
    <row r="62" spans="1:39" x14ac:dyDescent="0.25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</row>
    <row r="63" spans="1:39" x14ac:dyDescent="0.25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</row>
    <row r="64" spans="1:39" x14ac:dyDescent="0.25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</row>
    <row r="65" spans="1:39" x14ac:dyDescent="0.25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</row>
    <row r="66" spans="1:39" x14ac:dyDescent="0.2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</row>
    <row r="67" spans="1:39" x14ac:dyDescent="0.25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</row>
    <row r="68" spans="1:39" x14ac:dyDescent="0.2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</row>
    <row r="69" spans="1:39" x14ac:dyDescent="0.25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</row>
    <row r="70" spans="1:39" x14ac:dyDescent="0.25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</row>
    <row r="71" spans="1:39" x14ac:dyDescent="0.25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</row>
    <row r="72" spans="1:39" x14ac:dyDescent="0.25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</row>
    <row r="73" spans="1:39" x14ac:dyDescent="0.25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</row>
    <row r="74" spans="1:39" x14ac:dyDescent="0.25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</row>
    <row r="75" spans="1:39" x14ac:dyDescent="0.25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</row>
    <row r="76" spans="1:39" x14ac:dyDescent="0.25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</row>
    <row r="77" spans="1:39" x14ac:dyDescent="0.2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</row>
    <row r="78" spans="1:39" x14ac:dyDescent="0.25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</row>
    <row r="79" spans="1:39" x14ac:dyDescent="0.25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</row>
    <row r="80" spans="1:39" x14ac:dyDescent="0.25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</row>
    <row r="81" spans="1:39" x14ac:dyDescent="0.25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</row>
    <row r="82" spans="1:39" x14ac:dyDescent="0.25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</row>
    <row r="83" spans="1:39" x14ac:dyDescent="0.25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</row>
    <row r="84" spans="1:39" x14ac:dyDescent="0.25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</row>
    <row r="85" spans="1:39" x14ac:dyDescent="0.25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</row>
    <row r="86" spans="1:39" x14ac:dyDescent="0.25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</row>
    <row r="87" spans="1:39" x14ac:dyDescent="0.25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</row>
    <row r="88" spans="1:39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</row>
    <row r="89" spans="1:39" x14ac:dyDescent="0.25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</row>
    <row r="90" spans="1:39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</row>
    <row r="91" spans="1:39" x14ac:dyDescent="0.25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</row>
    <row r="92" spans="1:39" x14ac:dyDescent="0.25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</row>
    <row r="93" spans="1:39" x14ac:dyDescent="0.25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</row>
    <row r="94" spans="1:39" x14ac:dyDescent="0.25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</row>
    <row r="95" spans="1:39" x14ac:dyDescent="0.25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</row>
    <row r="96" spans="1:39" x14ac:dyDescent="0.25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</row>
    <row r="97" spans="1:39" x14ac:dyDescent="0.25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</row>
    <row r="98" spans="1:39" x14ac:dyDescent="0.2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</row>
    <row r="99" spans="1:39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</row>
    <row r="100" spans="1:39" x14ac:dyDescent="0.2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</row>
    <row r="101" spans="1:39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</row>
    <row r="102" spans="1:39" x14ac:dyDescent="0.2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</row>
    <row r="103" spans="1:39" x14ac:dyDescent="0.2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</row>
    <row r="104" spans="1:39" x14ac:dyDescent="0.2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</row>
    <row r="105" spans="1:39" x14ac:dyDescent="0.2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</row>
    <row r="106" spans="1:39" x14ac:dyDescent="0.2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</row>
    <row r="107" spans="1:39" x14ac:dyDescent="0.2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</row>
    <row r="108" spans="1:39" x14ac:dyDescent="0.2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</row>
    <row r="109" spans="1:39" x14ac:dyDescent="0.2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</row>
    <row r="110" spans="1:39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</row>
    <row r="111" spans="1:39" x14ac:dyDescent="0.2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</row>
    <row r="112" spans="1:39" x14ac:dyDescent="0.2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</row>
    <row r="113" spans="1:39" x14ac:dyDescent="0.2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</row>
    <row r="114" spans="1:39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</row>
    <row r="115" spans="1:39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</row>
    <row r="116" spans="1:39" x14ac:dyDescent="0.2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</row>
    <row r="117" spans="1:39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</row>
    <row r="118" spans="1:39" x14ac:dyDescent="0.2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</row>
    <row r="119" spans="1:39" x14ac:dyDescent="0.2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</row>
    <row r="120" spans="1:39" x14ac:dyDescent="0.2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</row>
    <row r="121" spans="1:39" x14ac:dyDescent="0.2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</row>
    <row r="122" spans="1:39" x14ac:dyDescent="0.2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</row>
    <row r="123" spans="1:39" x14ac:dyDescent="0.2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</row>
    <row r="124" spans="1:39" x14ac:dyDescent="0.2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</row>
  </sheetData>
  <mergeCells count="24">
    <mergeCell ref="A2:AC2"/>
    <mergeCell ref="A3:AC3"/>
    <mergeCell ref="A5:A6"/>
    <mergeCell ref="B5:B6"/>
    <mergeCell ref="C5:C6"/>
    <mergeCell ref="D5:D6"/>
    <mergeCell ref="E5:F5"/>
    <mergeCell ref="G5:H5"/>
    <mergeCell ref="I5:J5"/>
    <mergeCell ref="K5:L5"/>
    <mergeCell ref="AB47:AB48"/>
    <mergeCell ref="AB49:AB50"/>
    <mergeCell ref="AA5:AA6"/>
    <mergeCell ref="AB5:AB6"/>
    <mergeCell ref="AC5:AC6"/>
    <mergeCell ref="A7:AC7"/>
    <mergeCell ref="A13:AC13"/>
    <mergeCell ref="A26:AC26"/>
    <mergeCell ref="M5:N5"/>
    <mergeCell ref="O5:P5"/>
    <mergeCell ref="Q5:R5"/>
    <mergeCell ref="S5:T5"/>
    <mergeCell ref="W5:X5"/>
    <mergeCell ref="Y5:Z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6"/>
  <sheetViews>
    <sheetView showGridLines="0" showZeros="0" view="pageBreakPreview" zoomScaleSheetLayoutView="100" workbookViewId="0">
      <pane xSplit="2" ySplit="5" topLeftCell="C6" activePane="bottomRight" state="frozen"/>
      <selection activeCell="A16" sqref="A16:XFD16"/>
      <selection pane="topRight" activeCell="A16" sqref="A16:XFD16"/>
      <selection pane="bottomLeft" activeCell="A16" sqref="A16:XFD16"/>
      <selection pane="bottomRight" activeCell="A16" sqref="A16:XFD16"/>
    </sheetView>
  </sheetViews>
  <sheetFormatPr defaultColWidth="10.28515625" defaultRowHeight="15.75" x14ac:dyDescent="0.25"/>
  <cols>
    <col min="1" max="1" width="5.28515625" style="102" customWidth="1"/>
    <col min="2" max="2" width="16.140625" style="101" customWidth="1"/>
    <col min="3" max="3" width="6.140625" style="102" customWidth="1"/>
    <col min="4" max="4" width="5.42578125" style="102" customWidth="1"/>
    <col min="5" max="5" width="6.85546875" style="102" customWidth="1"/>
    <col min="6" max="6" width="7.28515625" style="102" customWidth="1"/>
    <col min="7" max="7" width="6.5703125" style="102" customWidth="1"/>
    <col min="8" max="8" width="6.42578125" style="102" customWidth="1"/>
    <col min="9" max="9" width="7" style="102" customWidth="1"/>
    <col min="10" max="10" width="6.85546875" style="102" customWidth="1"/>
    <col min="11" max="11" width="6.140625" style="102" customWidth="1"/>
    <col min="12" max="12" width="6.7109375" style="102" customWidth="1"/>
    <col min="13" max="13" width="5.42578125" style="102" customWidth="1"/>
    <col min="14" max="15" width="6.140625" style="102" customWidth="1"/>
    <col min="16" max="16" width="5.42578125" style="102" customWidth="1"/>
    <col min="17" max="17" width="6.28515625" style="102" customWidth="1"/>
    <col min="18" max="18" width="6" style="102" customWidth="1"/>
    <col min="19" max="19" width="6.7109375" style="102" customWidth="1"/>
    <col min="20" max="20" width="5.42578125" style="102" customWidth="1"/>
    <col min="21" max="21" width="6.5703125" style="102" customWidth="1"/>
    <col min="22" max="22" width="8.28515625" style="102" customWidth="1"/>
    <col min="23" max="23" width="5.42578125" style="102" customWidth="1"/>
    <col min="24" max="24" width="7.7109375" style="102" customWidth="1"/>
    <col min="25" max="25" width="6.42578125" style="102" customWidth="1"/>
    <col min="26" max="26" width="6" style="102" customWidth="1"/>
    <col min="27" max="27" width="6.28515625" style="102" customWidth="1"/>
    <col min="28" max="28" width="5.42578125" style="102" customWidth="1"/>
    <col min="29" max="29" width="6.42578125" style="102" customWidth="1"/>
    <col min="30" max="30" width="5.42578125" style="102" customWidth="1"/>
    <col min="31" max="31" width="6" style="102" customWidth="1"/>
    <col min="32" max="32" width="6.42578125" style="102" customWidth="1"/>
    <col min="33" max="256" width="10.28515625" style="101"/>
    <col min="257" max="257" width="5.28515625" style="101" customWidth="1"/>
    <col min="258" max="258" width="16.140625" style="101" customWidth="1"/>
    <col min="259" max="259" width="6.140625" style="101" customWidth="1"/>
    <col min="260" max="260" width="5.42578125" style="101" customWidth="1"/>
    <col min="261" max="261" width="6.85546875" style="101" customWidth="1"/>
    <col min="262" max="262" width="7.28515625" style="101" customWidth="1"/>
    <col min="263" max="263" width="6.5703125" style="101" customWidth="1"/>
    <col min="264" max="264" width="6.42578125" style="101" customWidth="1"/>
    <col min="265" max="265" width="7" style="101" customWidth="1"/>
    <col min="266" max="266" width="6.85546875" style="101" customWidth="1"/>
    <col min="267" max="267" width="6.140625" style="101" customWidth="1"/>
    <col min="268" max="268" width="6.7109375" style="101" customWidth="1"/>
    <col min="269" max="269" width="5.42578125" style="101" customWidth="1"/>
    <col min="270" max="271" width="6.140625" style="101" customWidth="1"/>
    <col min="272" max="272" width="5.42578125" style="101" customWidth="1"/>
    <col min="273" max="273" width="6.28515625" style="101" customWidth="1"/>
    <col min="274" max="274" width="6" style="101" customWidth="1"/>
    <col min="275" max="275" width="6.7109375" style="101" customWidth="1"/>
    <col min="276" max="276" width="5.42578125" style="101" customWidth="1"/>
    <col min="277" max="277" width="6.5703125" style="101" customWidth="1"/>
    <col min="278" max="278" width="8.28515625" style="101" customWidth="1"/>
    <col min="279" max="279" width="5.42578125" style="101" customWidth="1"/>
    <col min="280" max="280" width="7.7109375" style="101" customWidth="1"/>
    <col min="281" max="281" width="6.42578125" style="101" customWidth="1"/>
    <col min="282" max="282" width="6" style="101" customWidth="1"/>
    <col min="283" max="283" width="6.28515625" style="101" customWidth="1"/>
    <col min="284" max="284" width="5.42578125" style="101" customWidth="1"/>
    <col min="285" max="285" width="6.42578125" style="101" customWidth="1"/>
    <col min="286" max="286" width="5.42578125" style="101" customWidth="1"/>
    <col min="287" max="287" width="6" style="101" customWidth="1"/>
    <col min="288" max="288" width="6.42578125" style="101" customWidth="1"/>
    <col min="289" max="512" width="10.28515625" style="101"/>
    <col min="513" max="513" width="5.28515625" style="101" customWidth="1"/>
    <col min="514" max="514" width="16.140625" style="101" customWidth="1"/>
    <col min="515" max="515" width="6.140625" style="101" customWidth="1"/>
    <col min="516" max="516" width="5.42578125" style="101" customWidth="1"/>
    <col min="517" max="517" width="6.85546875" style="101" customWidth="1"/>
    <col min="518" max="518" width="7.28515625" style="101" customWidth="1"/>
    <col min="519" max="519" width="6.5703125" style="101" customWidth="1"/>
    <col min="520" max="520" width="6.42578125" style="101" customWidth="1"/>
    <col min="521" max="521" width="7" style="101" customWidth="1"/>
    <col min="522" max="522" width="6.85546875" style="101" customWidth="1"/>
    <col min="523" max="523" width="6.140625" style="101" customWidth="1"/>
    <col min="524" max="524" width="6.7109375" style="101" customWidth="1"/>
    <col min="525" max="525" width="5.42578125" style="101" customWidth="1"/>
    <col min="526" max="527" width="6.140625" style="101" customWidth="1"/>
    <col min="528" max="528" width="5.42578125" style="101" customWidth="1"/>
    <col min="529" max="529" width="6.28515625" style="101" customWidth="1"/>
    <col min="530" max="530" width="6" style="101" customWidth="1"/>
    <col min="531" max="531" width="6.7109375" style="101" customWidth="1"/>
    <col min="532" max="532" width="5.42578125" style="101" customWidth="1"/>
    <col min="533" max="533" width="6.5703125" style="101" customWidth="1"/>
    <col min="534" max="534" width="8.28515625" style="101" customWidth="1"/>
    <col min="535" max="535" width="5.42578125" style="101" customWidth="1"/>
    <col min="536" max="536" width="7.7109375" style="101" customWidth="1"/>
    <col min="537" max="537" width="6.42578125" style="101" customWidth="1"/>
    <col min="538" max="538" width="6" style="101" customWidth="1"/>
    <col min="539" max="539" width="6.28515625" style="101" customWidth="1"/>
    <col min="540" max="540" width="5.42578125" style="101" customWidth="1"/>
    <col min="541" max="541" width="6.42578125" style="101" customWidth="1"/>
    <col min="542" max="542" width="5.42578125" style="101" customWidth="1"/>
    <col min="543" max="543" width="6" style="101" customWidth="1"/>
    <col min="544" max="544" width="6.42578125" style="101" customWidth="1"/>
    <col min="545" max="768" width="10.28515625" style="101"/>
    <col min="769" max="769" width="5.28515625" style="101" customWidth="1"/>
    <col min="770" max="770" width="16.140625" style="101" customWidth="1"/>
    <col min="771" max="771" width="6.140625" style="101" customWidth="1"/>
    <col min="772" max="772" width="5.42578125" style="101" customWidth="1"/>
    <col min="773" max="773" width="6.85546875" style="101" customWidth="1"/>
    <col min="774" max="774" width="7.28515625" style="101" customWidth="1"/>
    <col min="775" max="775" width="6.5703125" style="101" customWidth="1"/>
    <col min="776" max="776" width="6.42578125" style="101" customWidth="1"/>
    <col min="777" max="777" width="7" style="101" customWidth="1"/>
    <col min="778" max="778" width="6.85546875" style="101" customWidth="1"/>
    <col min="779" max="779" width="6.140625" style="101" customWidth="1"/>
    <col min="780" max="780" width="6.7109375" style="101" customWidth="1"/>
    <col min="781" max="781" width="5.42578125" style="101" customWidth="1"/>
    <col min="782" max="783" width="6.140625" style="101" customWidth="1"/>
    <col min="784" max="784" width="5.42578125" style="101" customWidth="1"/>
    <col min="785" max="785" width="6.28515625" style="101" customWidth="1"/>
    <col min="786" max="786" width="6" style="101" customWidth="1"/>
    <col min="787" max="787" width="6.7109375" style="101" customWidth="1"/>
    <col min="788" max="788" width="5.42578125" style="101" customWidth="1"/>
    <col min="789" max="789" width="6.5703125" style="101" customWidth="1"/>
    <col min="790" max="790" width="8.28515625" style="101" customWidth="1"/>
    <col min="791" max="791" width="5.42578125" style="101" customWidth="1"/>
    <col min="792" max="792" width="7.7109375" style="101" customWidth="1"/>
    <col min="793" max="793" width="6.42578125" style="101" customWidth="1"/>
    <col min="794" max="794" width="6" style="101" customWidth="1"/>
    <col min="795" max="795" width="6.28515625" style="101" customWidth="1"/>
    <col min="796" max="796" width="5.42578125" style="101" customWidth="1"/>
    <col min="797" max="797" width="6.42578125" style="101" customWidth="1"/>
    <col min="798" max="798" width="5.42578125" style="101" customWidth="1"/>
    <col min="799" max="799" width="6" style="101" customWidth="1"/>
    <col min="800" max="800" width="6.42578125" style="101" customWidth="1"/>
    <col min="801" max="1024" width="10.28515625" style="101"/>
    <col min="1025" max="1025" width="5.28515625" style="101" customWidth="1"/>
    <col min="1026" max="1026" width="16.140625" style="101" customWidth="1"/>
    <col min="1027" max="1027" width="6.140625" style="101" customWidth="1"/>
    <col min="1028" max="1028" width="5.42578125" style="101" customWidth="1"/>
    <col min="1029" max="1029" width="6.85546875" style="101" customWidth="1"/>
    <col min="1030" max="1030" width="7.28515625" style="101" customWidth="1"/>
    <col min="1031" max="1031" width="6.5703125" style="101" customWidth="1"/>
    <col min="1032" max="1032" width="6.42578125" style="101" customWidth="1"/>
    <col min="1033" max="1033" width="7" style="101" customWidth="1"/>
    <col min="1034" max="1034" width="6.85546875" style="101" customWidth="1"/>
    <col min="1035" max="1035" width="6.140625" style="101" customWidth="1"/>
    <col min="1036" max="1036" width="6.7109375" style="101" customWidth="1"/>
    <col min="1037" max="1037" width="5.42578125" style="101" customWidth="1"/>
    <col min="1038" max="1039" width="6.140625" style="101" customWidth="1"/>
    <col min="1040" max="1040" width="5.42578125" style="101" customWidth="1"/>
    <col min="1041" max="1041" width="6.28515625" style="101" customWidth="1"/>
    <col min="1042" max="1042" width="6" style="101" customWidth="1"/>
    <col min="1043" max="1043" width="6.7109375" style="101" customWidth="1"/>
    <col min="1044" max="1044" width="5.42578125" style="101" customWidth="1"/>
    <col min="1045" max="1045" width="6.5703125" style="101" customWidth="1"/>
    <col min="1046" max="1046" width="8.28515625" style="101" customWidth="1"/>
    <col min="1047" max="1047" width="5.42578125" style="101" customWidth="1"/>
    <col min="1048" max="1048" width="7.7109375" style="101" customWidth="1"/>
    <col min="1049" max="1049" width="6.42578125" style="101" customWidth="1"/>
    <col min="1050" max="1050" width="6" style="101" customWidth="1"/>
    <col min="1051" max="1051" width="6.28515625" style="101" customWidth="1"/>
    <col min="1052" max="1052" width="5.42578125" style="101" customWidth="1"/>
    <col min="1053" max="1053" width="6.42578125" style="101" customWidth="1"/>
    <col min="1054" max="1054" width="5.42578125" style="101" customWidth="1"/>
    <col min="1055" max="1055" width="6" style="101" customWidth="1"/>
    <col min="1056" max="1056" width="6.42578125" style="101" customWidth="1"/>
    <col min="1057" max="1280" width="10.28515625" style="101"/>
    <col min="1281" max="1281" width="5.28515625" style="101" customWidth="1"/>
    <col min="1282" max="1282" width="16.140625" style="101" customWidth="1"/>
    <col min="1283" max="1283" width="6.140625" style="101" customWidth="1"/>
    <col min="1284" max="1284" width="5.42578125" style="101" customWidth="1"/>
    <col min="1285" max="1285" width="6.85546875" style="101" customWidth="1"/>
    <col min="1286" max="1286" width="7.28515625" style="101" customWidth="1"/>
    <col min="1287" max="1287" width="6.5703125" style="101" customWidth="1"/>
    <col min="1288" max="1288" width="6.42578125" style="101" customWidth="1"/>
    <col min="1289" max="1289" width="7" style="101" customWidth="1"/>
    <col min="1290" max="1290" width="6.85546875" style="101" customWidth="1"/>
    <col min="1291" max="1291" width="6.140625" style="101" customWidth="1"/>
    <col min="1292" max="1292" width="6.7109375" style="101" customWidth="1"/>
    <col min="1293" max="1293" width="5.42578125" style="101" customWidth="1"/>
    <col min="1294" max="1295" width="6.140625" style="101" customWidth="1"/>
    <col min="1296" max="1296" width="5.42578125" style="101" customWidth="1"/>
    <col min="1297" max="1297" width="6.28515625" style="101" customWidth="1"/>
    <col min="1298" max="1298" width="6" style="101" customWidth="1"/>
    <col min="1299" max="1299" width="6.7109375" style="101" customWidth="1"/>
    <col min="1300" max="1300" width="5.42578125" style="101" customWidth="1"/>
    <col min="1301" max="1301" width="6.5703125" style="101" customWidth="1"/>
    <col min="1302" max="1302" width="8.28515625" style="101" customWidth="1"/>
    <col min="1303" max="1303" width="5.42578125" style="101" customWidth="1"/>
    <col min="1304" max="1304" width="7.7109375" style="101" customWidth="1"/>
    <col min="1305" max="1305" width="6.42578125" style="101" customWidth="1"/>
    <col min="1306" max="1306" width="6" style="101" customWidth="1"/>
    <col min="1307" max="1307" width="6.28515625" style="101" customWidth="1"/>
    <col min="1308" max="1308" width="5.42578125" style="101" customWidth="1"/>
    <col min="1309" max="1309" width="6.42578125" style="101" customWidth="1"/>
    <col min="1310" max="1310" width="5.42578125" style="101" customWidth="1"/>
    <col min="1311" max="1311" width="6" style="101" customWidth="1"/>
    <col min="1312" max="1312" width="6.42578125" style="101" customWidth="1"/>
    <col min="1313" max="1536" width="10.28515625" style="101"/>
    <col min="1537" max="1537" width="5.28515625" style="101" customWidth="1"/>
    <col min="1538" max="1538" width="16.140625" style="101" customWidth="1"/>
    <col min="1539" max="1539" width="6.140625" style="101" customWidth="1"/>
    <col min="1540" max="1540" width="5.42578125" style="101" customWidth="1"/>
    <col min="1541" max="1541" width="6.85546875" style="101" customWidth="1"/>
    <col min="1542" max="1542" width="7.28515625" style="101" customWidth="1"/>
    <col min="1543" max="1543" width="6.5703125" style="101" customWidth="1"/>
    <col min="1544" max="1544" width="6.42578125" style="101" customWidth="1"/>
    <col min="1545" max="1545" width="7" style="101" customWidth="1"/>
    <col min="1546" max="1546" width="6.85546875" style="101" customWidth="1"/>
    <col min="1547" max="1547" width="6.140625" style="101" customWidth="1"/>
    <col min="1548" max="1548" width="6.7109375" style="101" customWidth="1"/>
    <col min="1549" max="1549" width="5.42578125" style="101" customWidth="1"/>
    <col min="1550" max="1551" width="6.140625" style="101" customWidth="1"/>
    <col min="1552" max="1552" width="5.42578125" style="101" customWidth="1"/>
    <col min="1553" max="1553" width="6.28515625" style="101" customWidth="1"/>
    <col min="1554" max="1554" width="6" style="101" customWidth="1"/>
    <col min="1555" max="1555" width="6.7109375" style="101" customWidth="1"/>
    <col min="1556" max="1556" width="5.42578125" style="101" customWidth="1"/>
    <col min="1557" max="1557" width="6.5703125" style="101" customWidth="1"/>
    <col min="1558" max="1558" width="8.28515625" style="101" customWidth="1"/>
    <col min="1559" max="1559" width="5.42578125" style="101" customWidth="1"/>
    <col min="1560" max="1560" width="7.7109375" style="101" customWidth="1"/>
    <col min="1561" max="1561" width="6.42578125" style="101" customWidth="1"/>
    <col min="1562" max="1562" width="6" style="101" customWidth="1"/>
    <col min="1563" max="1563" width="6.28515625" style="101" customWidth="1"/>
    <col min="1564" max="1564" width="5.42578125" style="101" customWidth="1"/>
    <col min="1565" max="1565" width="6.42578125" style="101" customWidth="1"/>
    <col min="1566" max="1566" width="5.42578125" style="101" customWidth="1"/>
    <col min="1567" max="1567" width="6" style="101" customWidth="1"/>
    <col min="1568" max="1568" width="6.42578125" style="101" customWidth="1"/>
    <col min="1569" max="1792" width="10.28515625" style="101"/>
    <col min="1793" max="1793" width="5.28515625" style="101" customWidth="1"/>
    <col min="1794" max="1794" width="16.140625" style="101" customWidth="1"/>
    <col min="1795" max="1795" width="6.140625" style="101" customWidth="1"/>
    <col min="1796" max="1796" width="5.42578125" style="101" customWidth="1"/>
    <col min="1797" max="1797" width="6.85546875" style="101" customWidth="1"/>
    <col min="1798" max="1798" width="7.28515625" style="101" customWidth="1"/>
    <col min="1799" max="1799" width="6.5703125" style="101" customWidth="1"/>
    <col min="1800" max="1800" width="6.42578125" style="101" customWidth="1"/>
    <col min="1801" max="1801" width="7" style="101" customWidth="1"/>
    <col min="1802" max="1802" width="6.85546875" style="101" customWidth="1"/>
    <col min="1803" max="1803" width="6.140625" style="101" customWidth="1"/>
    <col min="1804" max="1804" width="6.7109375" style="101" customWidth="1"/>
    <col min="1805" max="1805" width="5.42578125" style="101" customWidth="1"/>
    <col min="1806" max="1807" width="6.140625" style="101" customWidth="1"/>
    <col min="1808" max="1808" width="5.42578125" style="101" customWidth="1"/>
    <col min="1809" max="1809" width="6.28515625" style="101" customWidth="1"/>
    <col min="1810" max="1810" width="6" style="101" customWidth="1"/>
    <col min="1811" max="1811" width="6.7109375" style="101" customWidth="1"/>
    <col min="1812" max="1812" width="5.42578125" style="101" customWidth="1"/>
    <col min="1813" max="1813" width="6.5703125" style="101" customWidth="1"/>
    <col min="1814" max="1814" width="8.28515625" style="101" customWidth="1"/>
    <col min="1815" max="1815" width="5.42578125" style="101" customWidth="1"/>
    <col min="1816" max="1816" width="7.7109375" style="101" customWidth="1"/>
    <col min="1817" max="1817" width="6.42578125" style="101" customWidth="1"/>
    <col min="1818" max="1818" width="6" style="101" customWidth="1"/>
    <col min="1819" max="1819" width="6.28515625" style="101" customWidth="1"/>
    <col min="1820" max="1820" width="5.42578125" style="101" customWidth="1"/>
    <col min="1821" max="1821" width="6.42578125" style="101" customWidth="1"/>
    <col min="1822" max="1822" width="5.42578125" style="101" customWidth="1"/>
    <col min="1823" max="1823" width="6" style="101" customWidth="1"/>
    <col min="1824" max="1824" width="6.42578125" style="101" customWidth="1"/>
    <col min="1825" max="2048" width="10.28515625" style="101"/>
    <col min="2049" max="2049" width="5.28515625" style="101" customWidth="1"/>
    <col min="2050" max="2050" width="16.140625" style="101" customWidth="1"/>
    <col min="2051" max="2051" width="6.140625" style="101" customWidth="1"/>
    <col min="2052" max="2052" width="5.42578125" style="101" customWidth="1"/>
    <col min="2053" max="2053" width="6.85546875" style="101" customWidth="1"/>
    <col min="2054" max="2054" width="7.28515625" style="101" customWidth="1"/>
    <col min="2055" max="2055" width="6.5703125" style="101" customWidth="1"/>
    <col min="2056" max="2056" width="6.42578125" style="101" customWidth="1"/>
    <col min="2057" max="2057" width="7" style="101" customWidth="1"/>
    <col min="2058" max="2058" width="6.85546875" style="101" customWidth="1"/>
    <col min="2059" max="2059" width="6.140625" style="101" customWidth="1"/>
    <col min="2060" max="2060" width="6.7109375" style="101" customWidth="1"/>
    <col min="2061" max="2061" width="5.42578125" style="101" customWidth="1"/>
    <col min="2062" max="2063" width="6.140625" style="101" customWidth="1"/>
    <col min="2064" max="2064" width="5.42578125" style="101" customWidth="1"/>
    <col min="2065" max="2065" width="6.28515625" style="101" customWidth="1"/>
    <col min="2066" max="2066" width="6" style="101" customWidth="1"/>
    <col min="2067" max="2067" width="6.7109375" style="101" customWidth="1"/>
    <col min="2068" max="2068" width="5.42578125" style="101" customWidth="1"/>
    <col min="2069" max="2069" width="6.5703125" style="101" customWidth="1"/>
    <col min="2070" max="2070" width="8.28515625" style="101" customWidth="1"/>
    <col min="2071" max="2071" width="5.42578125" style="101" customWidth="1"/>
    <col min="2072" max="2072" width="7.7109375" style="101" customWidth="1"/>
    <col min="2073" max="2073" width="6.42578125" style="101" customWidth="1"/>
    <col min="2074" max="2074" width="6" style="101" customWidth="1"/>
    <col min="2075" max="2075" width="6.28515625" style="101" customWidth="1"/>
    <col min="2076" max="2076" width="5.42578125" style="101" customWidth="1"/>
    <col min="2077" max="2077" width="6.42578125" style="101" customWidth="1"/>
    <col min="2078" max="2078" width="5.42578125" style="101" customWidth="1"/>
    <col min="2079" max="2079" width="6" style="101" customWidth="1"/>
    <col min="2080" max="2080" width="6.42578125" style="101" customWidth="1"/>
    <col min="2081" max="2304" width="10.28515625" style="101"/>
    <col min="2305" max="2305" width="5.28515625" style="101" customWidth="1"/>
    <col min="2306" max="2306" width="16.140625" style="101" customWidth="1"/>
    <col min="2307" max="2307" width="6.140625" style="101" customWidth="1"/>
    <col min="2308" max="2308" width="5.42578125" style="101" customWidth="1"/>
    <col min="2309" max="2309" width="6.85546875" style="101" customWidth="1"/>
    <col min="2310" max="2310" width="7.28515625" style="101" customWidth="1"/>
    <col min="2311" max="2311" width="6.5703125" style="101" customWidth="1"/>
    <col min="2312" max="2312" width="6.42578125" style="101" customWidth="1"/>
    <col min="2313" max="2313" width="7" style="101" customWidth="1"/>
    <col min="2314" max="2314" width="6.85546875" style="101" customWidth="1"/>
    <col min="2315" max="2315" width="6.140625" style="101" customWidth="1"/>
    <col min="2316" max="2316" width="6.7109375" style="101" customWidth="1"/>
    <col min="2317" max="2317" width="5.42578125" style="101" customWidth="1"/>
    <col min="2318" max="2319" width="6.140625" style="101" customWidth="1"/>
    <col min="2320" max="2320" width="5.42578125" style="101" customWidth="1"/>
    <col min="2321" max="2321" width="6.28515625" style="101" customWidth="1"/>
    <col min="2322" max="2322" width="6" style="101" customWidth="1"/>
    <col min="2323" max="2323" width="6.7109375" style="101" customWidth="1"/>
    <col min="2324" max="2324" width="5.42578125" style="101" customWidth="1"/>
    <col min="2325" max="2325" width="6.5703125" style="101" customWidth="1"/>
    <col min="2326" max="2326" width="8.28515625" style="101" customWidth="1"/>
    <col min="2327" max="2327" width="5.42578125" style="101" customWidth="1"/>
    <col min="2328" max="2328" width="7.7109375" style="101" customWidth="1"/>
    <col min="2329" max="2329" width="6.42578125" style="101" customWidth="1"/>
    <col min="2330" max="2330" width="6" style="101" customWidth="1"/>
    <col min="2331" max="2331" width="6.28515625" style="101" customWidth="1"/>
    <col min="2332" max="2332" width="5.42578125" style="101" customWidth="1"/>
    <col min="2333" max="2333" width="6.42578125" style="101" customWidth="1"/>
    <col min="2334" max="2334" width="5.42578125" style="101" customWidth="1"/>
    <col min="2335" max="2335" width="6" style="101" customWidth="1"/>
    <col min="2336" max="2336" width="6.42578125" style="101" customWidth="1"/>
    <col min="2337" max="2560" width="10.28515625" style="101"/>
    <col min="2561" max="2561" width="5.28515625" style="101" customWidth="1"/>
    <col min="2562" max="2562" width="16.140625" style="101" customWidth="1"/>
    <col min="2563" max="2563" width="6.140625" style="101" customWidth="1"/>
    <col min="2564" max="2564" width="5.42578125" style="101" customWidth="1"/>
    <col min="2565" max="2565" width="6.85546875" style="101" customWidth="1"/>
    <col min="2566" max="2566" width="7.28515625" style="101" customWidth="1"/>
    <col min="2567" max="2567" width="6.5703125" style="101" customWidth="1"/>
    <col min="2568" max="2568" width="6.42578125" style="101" customWidth="1"/>
    <col min="2569" max="2569" width="7" style="101" customWidth="1"/>
    <col min="2570" max="2570" width="6.85546875" style="101" customWidth="1"/>
    <col min="2571" max="2571" width="6.140625" style="101" customWidth="1"/>
    <col min="2572" max="2572" width="6.7109375" style="101" customWidth="1"/>
    <col min="2573" max="2573" width="5.42578125" style="101" customWidth="1"/>
    <col min="2574" max="2575" width="6.140625" style="101" customWidth="1"/>
    <col min="2576" max="2576" width="5.42578125" style="101" customWidth="1"/>
    <col min="2577" max="2577" width="6.28515625" style="101" customWidth="1"/>
    <col min="2578" max="2578" width="6" style="101" customWidth="1"/>
    <col min="2579" max="2579" width="6.7109375" style="101" customWidth="1"/>
    <col min="2580" max="2580" width="5.42578125" style="101" customWidth="1"/>
    <col min="2581" max="2581" width="6.5703125" style="101" customWidth="1"/>
    <col min="2582" max="2582" width="8.28515625" style="101" customWidth="1"/>
    <col min="2583" max="2583" width="5.42578125" style="101" customWidth="1"/>
    <col min="2584" max="2584" width="7.7109375" style="101" customWidth="1"/>
    <col min="2585" max="2585" width="6.42578125" style="101" customWidth="1"/>
    <col min="2586" max="2586" width="6" style="101" customWidth="1"/>
    <col min="2587" max="2587" width="6.28515625" style="101" customWidth="1"/>
    <col min="2588" max="2588" width="5.42578125" style="101" customWidth="1"/>
    <col min="2589" max="2589" width="6.42578125" style="101" customWidth="1"/>
    <col min="2590" max="2590" width="5.42578125" style="101" customWidth="1"/>
    <col min="2591" max="2591" width="6" style="101" customWidth="1"/>
    <col min="2592" max="2592" width="6.42578125" style="101" customWidth="1"/>
    <col min="2593" max="2816" width="10.28515625" style="101"/>
    <col min="2817" max="2817" width="5.28515625" style="101" customWidth="1"/>
    <col min="2818" max="2818" width="16.140625" style="101" customWidth="1"/>
    <col min="2819" max="2819" width="6.140625" style="101" customWidth="1"/>
    <col min="2820" max="2820" width="5.42578125" style="101" customWidth="1"/>
    <col min="2821" max="2821" width="6.85546875" style="101" customWidth="1"/>
    <col min="2822" max="2822" width="7.28515625" style="101" customWidth="1"/>
    <col min="2823" max="2823" width="6.5703125" style="101" customWidth="1"/>
    <col min="2824" max="2824" width="6.42578125" style="101" customWidth="1"/>
    <col min="2825" max="2825" width="7" style="101" customWidth="1"/>
    <col min="2826" max="2826" width="6.85546875" style="101" customWidth="1"/>
    <col min="2827" max="2827" width="6.140625" style="101" customWidth="1"/>
    <col min="2828" max="2828" width="6.7109375" style="101" customWidth="1"/>
    <col min="2829" max="2829" width="5.42578125" style="101" customWidth="1"/>
    <col min="2830" max="2831" width="6.140625" style="101" customWidth="1"/>
    <col min="2832" max="2832" width="5.42578125" style="101" customWidth="1"/>
    <col min="2833" max="2833" width="6.28515625" style="101" customWidth="1"/>
    <col min="2834" max="2834" width="6" style="101" customWidth="1"/>
    <col min="2835" max="2835" width="6.7109375" style="101" customWidth="1"/>
    <col min="2836" max="2836" width="5.42578125" style="101" customWidth="1"/>
    <col min="2837" max="2837" width="6.5703125" style="101" customWidth="1"/>
    <col min="2838" max="2838" width="8.28515625" style="101" customWidth="1"/>
    <col min="2839" max="2839" width="5.42578125" style="101" customWidth="1"/>
    <col min="2840" max="2840" width="7.7109375" style="101" customWidth="1"/>
    <col min="2841" max="2841" width="6.42578125" style="101" customWidth="1"/>
    <col min="2842" max="2842" width="6" style="101" customWidth="1"/>
    <col min="2843" max="2843" width="6.28515625" style="101" customWidth="1"/>
    <col min="2844" max="2844" width="5.42578125" style="101" customWidth="1"/>
    <col min="2845" max="2845" width="6.42578125" style="101" customWidth="1"/>
    <col min="2846" max="2846" width="5.42578125" style="101" customWidth="1"/>
    <col min="2847" max="2847" width="6" style="101" customWidth="1"/>
    <col min="2848" max="2848" width="6.42578125" style="101" customWidth="1"/>
    <col min="2849" max="3072" width="10.28515625" style="101"/>
    <col min="3073" max="3073" width="5.28515625" style="101" customWidth="1"/>
    <col min="3074" max="3074" width="16.140625" style="101" customWidth="1"/>
    <col min="3075" max="3075" width="6.140625" style="101" customWidth="1"/>
    <col min="3076" max="3076" width="5.42578125" style="101" customWidth="1"/>
    <col min="3077" max="3077" width="6.85546875" style="101" customWidth="1"/>
    <col min="3078" max="3078" width="7.28515625" style="101" customWidth="1"/>
    <col min="3079" max="3079" width="6.5703125" style="101" customWidth="1"/>
    <col min="3080" max="3080" width="6.42578125" style="101" customWidth="1"/>
    <col min="3081" max="3081" width="7" style="101" customWidth="1"/>
    <col min="3082" max="3082" width="6.85546875" style="101" customWidth="1"/>
    <col min="3083" max="3083" width="6.140625" style="101" customWidth="1"/>
    <col min="3084" max="3084" width="6.7109375" style="101" customWidth="1"/>
    <col min="3085" max="3085" width="5.42578125" style="101" customWidth="1"/>
    <col min="3086" max="3087" width="6.140625" style="101" customWidth="1"/>
    <col min="3088" max="3088" width="5.42578125" style="101" customWidth="1"/>
    <col min="3089" max="3089" width="6.28515625" style="101" customWidth="1"/>
    <col min="3090" max="3090" width="6" style="101" customWidth="1"/>
    <col min="3091" max="3091" width="6.7109375" style="101" customWidth="1"/>
    <col min="3092" max="3092" width="5.42578125" style="101" customWidth="1"/>
    <col min="3093" max="3093" width="6.5703125" style="101" customWidth="1"/>
    <col min="3094" max="3094" width="8.28515625" style="101" customWidth="1"/>
    <col min="3095" max="3095" width="5.42578125" style="101" customWidth="1"/>
    <col min="3096" max="3096" width="7.7109375" style="101" customWidth="1"/>
    <col min="3097" max="3097" width="6.42578125" style="101" customWidth="1"/>
    <col min="3098" max="3098" width="6" style="101" customWidth="1"/>
    <col min="3099" max="3099" width="6.28515625" style="101" customWidth="1"/>
    <col min="3100" max="3100" width="5.42578125" style="101" customWidth="1"/>
    <col min="3101" max="3101" width="6.42578125" style="101" customWidth="1"/>
    <col min="3102" max="3102" width="5.42578125" style="101" customWidth="1"/>
    <col min="3103" max="3103" width="6" style="101" customWidth="1"/>
    <col min="3104" max="3104" width="6.42578125" style="101" customWidth="1"/>
    <col min="3105" max="3328" width="10.28515625" style="101"/>
    <col min="3329" max="3329" width="5.28515625" style="101" customWidth="1"/>
    <col min="3330" max="3330" width="16.140625" style="101" customWidth="1"/>
    <col min="3331" max="3331" width="6.140625" style="101" customWidth="1"/>
    <col min="3332" max="3332" width="5.42578125" style="101" customWidth="1"/>
    <col min="3333" max="3333" width="6.85546875" style="101" customWidth="1"/>
    <col min="3334" max="3334" width="7.28515625" style="101" customWidth="1"/>
    <col min="3335" max="3335" width="6.5703125" style="101" customWidth="1"/>
    <col min="3336" max="3336" width="6.42578125" style="101" customWidth="1"/>
    <col min="3337" max="3337" width="7" style="101" customWidth="1"/>
    <col min="3338" max="3338" width="6.85546875" style="101" customWidth="1"/>
    <col min="3339" max="3339" width="6.140625" style="101" customWidth="1"/>
    <col min="3340" max="3340" width="6.7109375" style="101" customWidth="1"/>
    <col min="3341" max="3341" width="5.42578125" style="101" customWidth="1"/>
    <col min="3342" max="3343" width="6.140625" style="101" customWidth="1"/>
    <col min="3344" max="3344" width="5.42578125" style="101" customWidth="1"/>
    <col min="3345" max="3345" width="6.28515625" style="101" customWidth="1"/>
    <col min="3346" max="3346" width="6" style="101" customWidth="1"/>
    <col min="3347" max="3347" width="6.7109375" style="101" customWidth="1"/>
    <col min="3348" max="3348" width="5.42578125" style="101" customWidth="1"/>
    <col min="3349" max="3349" width="6.5703125" style="101" customWidth="1"/>
    <col min="3350" max="3350" width="8.28515625" style="101" customWidth="1"/>
    <col min="3351" max="3351" width="5.42578125" style="101" customWidth="1"/>
    <col min="3352" max="3352" width="7.7109375" style="101" customWidth="1"/>
    <col min="3353" max="3353" width="6.42578125" style="101" customWidth="1"/>
    <col min="3354" max="3354" width="6" style="101" customWidth="1"/>
    <col min="3355" max="3355" width="6.28515625" style="101" customWidth="1"/>
    <col min="3356" max="3356" width="5.42578125" style="101" customWidth="1"/>
    <col min="3357" max="3357" width="6.42578125" style="101" customWidth="1"/>
    <col min="3358" max="3358" width="5.42578125" style="101" customWidth="1"/>
    <col min="3359" max="3359" width="6" style="101" customWidth="1"/>
    <col min="3360" max="3360" width="6.42578125" style="101" customWidth="1"/>
    <col min="3361" max="3584" width="10.28515625" style="101"/>
    <col min="3585" max="3585" width="5.28515625" style="101" customWidth="1"/>
    <col min="3586" max="3586" width="16.140625" style="101" customWidth="1"/>
    <col min="3587" max="3587" width="6.140625" style="101" customWidth="1"/>
    <col min="3588" max="3588" width="5.42578125" style="101" customWidth="1"/>
    <col min="3589" max="3589" width="6.85546875" style="101" customWidth="1"/>
    <col min="3590" max="3590" width="7.28515625" style="101" customWidth="1"/>
    <col min="3591" max="3591" width="6.5703125" style="101" customWidth="1"/>
    <col min="3592" max="3592" width="6.42578125" style="101" customWidth="1"/>
    <col min="3593" max="3593" width="7" style="101" customWidth="1"/>
    <col min="3594" max="3594" width="6.85546875" style="101" customWidth="1"/>
    <col min="3595" max="3595" width="6.140625" style="101" customWidth="1"/>
    <col min="3596" max="3596" width="6.7109375" style="101" customWidth="1"/>
    <col min="3597" max="3597" width="5.42578125" style="101" customWidth="1"/>
    <col min="3598" max="3599" width="6.140625" style="101" customWidth="1"/>
    <col min="3600" max="3600" width="5.42578125" style="101" customWidth="1"/>
    <col min="3601" max="3601" width="6.28515625" style="101" customWidth="1"/>
    <col min="3602" max="3602" width="6" style="101" customWidth="1"/>
    <col min="3603" max="3603" width="6.7109375" style="101" customWidth="1"/>
    <col min="3604" max="3604" width="5.42578125" style="101" customWidth="1"/>
    <col min="3605" max="3605" width="6.5703125" style="101" customWidth="1"/>
    <col min="3606" max="3606" width="8.28515625" style="101" customWidth="1"/>
    <col min="3607" max="3607" width="5.42578125" style="101" customWidth="1"/>
    <col min="3608" max="3608" width="7.7109375" style="101" customWidth="1"/>
    <col min="3609" max="3609" width="6.42578125" style="101" customWidth="1"/>
    <col min="3610" max="3610" width="6" style="101" customWidth="1"/>
    <col min="3611" max="3611" width="6.28515625" style="101" customWidth="1"/>
    <col min="3612" max="3612" width="5.42578125" style="101" customWidth="1"/>
    <col min="3613" max="3613" width="6.42578125" style="101" customWidth="1"/>
    <col min="3614" max="3614" width="5.42578125" style="101" customWidth="1"/>
    <col min="3615" max="3615" width="6" style="101" customWidth="1"/>
    <col min="3616" max="3616" width="6.42578125" style="101" customWidth="1"/>
    <col min="3617" max="3840" width="10.28515625" style="101"/>
    <col min="3841" max="3841" width="5.28515625" style="101" customWidth="1"/>
    <col min="3842" max="3842" width="16.140625" style="101" customWidth="1"/>
    <col min="3843" max="3843" width="6.140625" style="101" customWidth="1"/>
    <col min="3844" max="3844" width="5.42578125" style="101" customWidth="1"/>
    <col min="3845" max="3845" width="6.85546875" style="101" customWidth="1"/>
    <col min="3846" max="3846" width="7.28515625" style="101" customWidth="1"/>
    <col min="3847" max="3847" width="6.5703125" style="101" customWidth="1"/>
    <col min="3848" max="3848" width="6.42578125" style="101" customWidth="1"/>
    <col min="3849" max="3849" width="7" style="101" customWidth="1"/>
    <col min="3850" max="3850" width="6.85546875" style="101" customWidth="1"/>
    <col min="3851" max="3851" width="6.140625" style="101" customWidth="1"/>
    <col min="3852" max="3852" width="6.7109375" style="101" customWidth="1"/>
    <col min="3853" max="3853" width="5.42578125" style="101" customWidth="1"/>
    <col min="3854" max="3855" width="6.140625" style="101" customWidth="1"/>
    <col min="3856" max="3856" width="5.42578125" style="101" customWidth="1"/>
    <col min="3857" max="3857" width="6.28515625" style="101" customWidth="1"/>
    <col min="3858" max="3858" width="6" style="101" customWidth="1"/>
    <col min="3859" max="3859" width="6.7109375" style="101" customWidth="1"/>
    <col min="3860" max="3860" width="5.42578125" style="101" customWidth="1"/>
    <col min="3861" max="3861" width="6.5703125" style="101" customWidth="1"/>
    <col min="3862" max="3862" width="8.28515625" style="101" customWidth="1"/>
    <col min="3863" max="3863" width="5.42578125" style="101" customWidth="1"/>
    <col min="3864" max="3864" width="7.7109375" style="101" customWidth="1"/>
    <col min="3865" max="3865" width="6.42578125" style="101" customWidth="1"/>
    <col min="3866" max="3866" width="6" style="101" customWidth="1"/>
    <col min="3867" max="3867" width="6.28515625" style="101" customWidth="1"/>
    <col min="3868" max="3868" width="5.42578125" style="101" customWidth="1"/>
    <col min="3869" max="3869" width="6.42578125" style="101" customWidth="1"/>
    <col min="3870" max="3870" width="5.42578125" style="101" customWidth="1"/>
    <col min="3871" max="3871" width="6" style="101" customWidth="1"/>
    <col min="3872" max="3872" width="6.42578125" style="101" customWidth="1"/>
    <col min="3873" max="4096" width="10.28515625" style="101"/>
    <col min="4097" max="4097" width="5.28515625" style="101" customWidth="1"/>
    <col min="4098" max="4098" width="16.140625" style="101" customWidth="1"/>
    <col min="4099" max="4099" width="6.140625" style="101" customWidth="1"/>
    <col min="4100" max="4100" width="5.42578125" style="101" customWidth="1"/>
    <col min="4101" max="4101" width="6.85546875" style="101" customWidth="1"/>
    <col min="4102" max="4102" width="7.28515625" style="101" customWidth="1"/>
    <col min="4103" max="4103" width="6.5703125" style="101" customWidth="1"/>
    <col min="4104" max="4104" width="6.42578125" style="101" customWidth="1"/>
    <col min="4105" max="4105" width="7" style="101" customWidth="1"/>
    <col min="4106" max="4106" width="6.85546875" style="101" customWidth="1"/>
    <col min="4107" max="4107" width="6.140625" style="101" customWidth="1"/>
    <col min="4108" max="4108" width="6.7109375" style="101" customWidth="1"/>
    <col min="4109" max="4109" width="5.42578125" style="101" customWidth="1"/>
    <col min="4110" max="4111" width="6.140625" style="101" customWidth="1"/>
    <col min="4112" max="4112" width="5.42578125" style="101" customWidth="1"/>
    <col min="4113" max="4113" width="6.28515625" style="101" customWidth="1"/>
    <col min="4114" max="4114" width="6" style="101" customWidth="1"/>
    <col min="4115" max="4115" width="6.7109375" style="101" customWidth="1"/>
    <col min="4116" max="4116" width="5.42578125" style="101" customWidth="1"/>
    <col min="4117" max="4117" width="6.5703125" style="101" customWidth="1"/>
    <col min="4118" max="4118" width="8.28515625" style="101" customWidth="1"/>
    <col min="4119" max="4119" width="5.42578125" style="101" customWidth="1"/>
    <col min="4120" max="4120" width="7.7109375" style="101" customWidth="1"/>
    <col min="4121" max="4121" width="6.42578125" style="101" customWidth="1"/>
    <col min="4122" max="4122" width="6" style="101" customWidth="1"/>
    <col min="4123" max="4123" width="6.28515625" style="101" customWidth="1"/>
    <col min="4124" max="4124" width="5.42578125" style="101" customWidth="1"/>
    <col min="4125" max="4125" width="6.42578125" style="101" customWidth="1"/>
    <col min="4126" max="4126" width="5.42578125" style="101" customWidth="1"/>
    <col min="4127" max="4127" width="6" style="101" customWidth="1"/>
    <col min="4128" max="4128" width="6.42578125" style="101" customWidth="1"/>
    <col min="4129" max="4352" width="10.28515625" style="101"/>
    <col min="4353" max="4353" width="5.28515625" style="101" customWidth="1"/>
    <col min="4354" max="4354" width="16.140625" style="101" customWidth="1"/>
    <col min="4355" max="4355" width="6.140625" style="101" customWidth="1"/>
    <col min="4356" max="4356" width="5.42578125" style="101" customWidth="1"/>
    <col min="4357" max="4357" width="6.85546875" style="101" customWidth="1"/>
    <col min="4358" max="4358" width="7.28515625" style="101" customWidth="1"/>
    <col min="4359" max="4359" width="6.5703125" style="101" customWidth="1"/>
    <col min="4360" max="4360" width="6.42578125" style="101" customWidth="1"/>
    <col min="4361" max="4361" width="7" style="101" customWidth="1"/>
    <col min="4362" max="4362" width="6.85546875" style="101" customWidth="1"/>
    <col min="4363" max="4363" width="6.140625" style="101" customWidth="1"/>
    <col min="4364" max="4364" width="6.7109375" style="101" customWidth="1"/>
    <col min="4365" max="4365" width="5.42578125" style="101" customWidth="1"/>
    <col min="4366" max="4367" width="6.140625" style="101" customWidth="1"/>
    <col min="4368" max="4368" width="5.42578125" style="101" customWidth="1"/>
    <col min="4369" max="4369" width="6.28515625" style="101" customWidth="1"/>
    <col min="4370" max="4370" width="6" style="101" customWidth="1"/>
    <col min="4371" max="4371" width="6.7109375" style="101" customWidth="1"/>
    <col min="4372" max="4372" width="5.42578125" style="101" customWidth="1"/>
    <col min="4373" max="4373" width="6.5703125" style="101" customWidth="1"/>
    <col min="4374" max="4374" width="8.28515625" style="101" customWidth="1"/>
    <col min="4375" max="4375" width="5.42578125" style="101" customWidth="1"/>
    <col min="4376" max="4376" width="7.7109375" style="101" customWidth="1"/>
    <col min="4377" max="4377" width="6.42578125" style="101" customWidth="1"/>
    <col min="4378" max="4378" width="6" style="101" customWidth="1"/>
    <col min="4379" max="4379" width="6.28515625" style="101" customWidth="1"/>
    <col min="4380" max="4380" width="5.42578125" style="101" customWidth="1"/>
    <col min="4381" max="4381" width="6.42578125" style="101" customWidth="1"/>
    <col min="4382" max="4382" width="5.42578125" style="101" customWidth="1"/>
    <col min="4383" max="4383" width="6" style="101" customWidth="1"/>
    <col min="4384" max="4384" width="6.42578125" style="101" customWidth="1"/>
    <col min="4385" max="4608" width="10.28515625" style="101"/>
    <col min="4609" max="4609" width="5.28515625" style="101" customWidth="1"/>
    <col min="4610" max="4610" width="16.140625" style="101" customWidth="1"/>
    <col min="4611" max="4611" width="6.140625" style="101" customWidth="1"/>
    <col min="4612" max="4612" width="5.42578125" style="101" customWidth="1"/>
    <col min="4613" max="4613" width="6.85546875" style="101" customWidth="1"/>
    <col min="4614" max="4614" width="7.28515625" style="101" customWidth="1"/>
    <col min="4615" max="4615" width="6.5703125" style="101" customWidth="1"/>
    <col min="4616" max="4616" width="6.42578125" style="101" customWidth="1"/>
    <col min="4617" max="4617" width="7" style="101" customWidth="1"/>
    <col min="4618" max="4618" width="6.85546875" style="101" customWidth="1"/>
    <col min="4619" max="4619" width="6.140625" style="101" customWidth="1"/>
    <col min="4620" max="4620" width="6.7109375" style="101" customWidth="1"/>
    <col min="4621" max="4621" width="5.42578125" style="101" customWidth="1"/>
    <col min="4622" max="4623" width="6.140625" style="101" customWidth="1"/>
    <col min="4624" max="4624" width="5.42578125" style="101" customWidth="1"/>
    <col min="4625" max="4625" width="6.28515625" style="101" customWidth="1"/>
    <col min="4626" max="4626" width="6" style="101" customWidth="1"/>
    <col min="4627" max="4627" width="6.7109375" style="101" customWidth="1"/>
    <col min="4628" max="4628" width="5.42578125" style="101" customWidth="1"/>
    <col min="4629" max="4629" width="6.5703125" style="101" customWidth="1"/>
    <col min="4630" max="4630" width="8.28515625" style="101" customWidth="1"/>
    <col min="4631" max="4631" width="5.42578125" style="101" customWidth="1"/>
    <col min="4632" max="4632" width="7.7109375" style="101" customWidth="1"/>
    <col min="4633" max="4633" width="6.42578125" style="101" customWidth="1"/>
    <col min="4634" max="4634" width="6" style="101" customWidth="1"/>
    <col min="4635" max="4635" width="6.28515625" style="101" customWidth="1"/>
    <col min="4636" max="4636" width="5.42578125" style="101" customWidth="1"/>
    <col min="4637" max="4637" width="6.42578125" style="101" customWidth="1"/>
    <col min="4638" max="4638" width="5.42578125" style="101" customWidth="1"/>
    <col min="4639" max="4639" width="6" style="101" customWidth="1"/>
    <col min="4640" max="4640" width="6.42578125" style="101" customWidth="1"/>
    <col min="4641" max="4864" width="10.28515625" style="101"/>
    <col min="4865" max="4865" width="5.28515625" style="101" customWidth="1"/>
    <col min="4866" max="4866" width="16.140625" style="101" customWidth="1"/>
    <col min="4867" max="4867" width="6.140625" style="101" customWidth="1"/>
    <col min="4868" max="4868" width="5.42578125" style="101" customWidth="1"/>
    <col min="4869" max="4869" width="6.85546875" style="101" customWidth="1"/>
    <col min="4870" max="4870" width="7.28515625" style="101" customWidth="1"/>
    <col min="4871" max="4871" width="6.5703125" style="101" customWidth="1"/>
    <col min="4872" max="4872" width="6.42578125" style="101" customWidth="1"/>
    <col min="4873" max="4873" width="7" style="101" customWidth="1"/>
    <col min="4874" max="4874" width="6.85546875" style="101" customWidth="1"/>
    <col min="4875" max="4875" width="6.140625" style="101" customWidth="1"/>
    <col min="4876" max="4876" width="6.7109375" style="101" customWidth="1"/>
    <col min="4877" max="4877" width="5.42578125" style="101" customWidth="1"/>
    <col min="4878" max="4879" width="6.140625" style="101" customWidth="1"/>
    <col min="4880" max="4880" width="5.42578125" style="101" customWidth="1"/>
    <col min="4881" max="4881" width="6.28515625" style="101" customWidth="1"/>
    <col min="4882" max="4882" width="6" style="101" customWidth="1"/>
    <col min="4883" max="4883" width="6.7109375" style="101" customWidth="1"/>
    <col min="4884" max="4884" width="5.42578125" style="101" customWidth="1"/>
    <col min="4885" max="4885" width="6.5703125" style="101" customWidth="1"/>
    <col min="4886" max="4886" width="8.28515625" style="101" customWidth="1"/>
    <col min="4887" max="4887" width="5.42578125" style="101" customWidth="1"/>
    <col min="4888" max="4888" width="7.7109375" style="101" customWidth="1"/>
    <col min="4889" max="4889" width="6.42578125" style="101" customWidth="1"/>
    <col min="4890" max="4890" width="6" style="101" customWidth="1"/>
    <col min="4891" max="4891" width="6.28515625" style="101" customWidth="1"/>
    <col min="4892" max="4892" width="5.42578125" style="101" customWidth="1"/>
    <col min="4893" max="4893" width="6.42578125" style="101" customWidth="1"/>
    <col min="4894" max="4894" width="5.42578125" style="101" customWidth="1"/>
    <col min="4895" max="4895" width="6" style="101" customWidth="1"/>
    <col min="4896" max="4896" width="6.42578125" style="101" customWidth="1"/>
    <col min="4897" max="5120" width="10.28515625" style="101"/>
    <col min="5121" max="5121" width="5.28515625" style="101" customWidth="1"/>
    <col min="5122" max="5122" width="16.140625" style="101" customWidth="1"/>
    <col min="5123" max="5123" width="6.140625" style="101" customWidth="1"/>
    <col min="5124" max="5124" width="5.42578125" style="101" customWidth="1"/>
    <col min="5125" max="5125" width="6.85546875" style="101" customWidth="1"/>
    <col min="5126" max="5126" width="7.28515625" style="101" customWidth="1"/>
    <col min="5127" max="5127" width="6.5703125" style="101" customWidth="1"/>
    <col min="5128" max="5128" width="6.42578125" style="101" customWidth="1"/>
    <col min="5129" max="5129" width="7" style="101" customWidth="1"/>
    <col min="5130" max="5130" width="6.85546875" style="101" customWidth="1"/>
    <col min="5131" max="5131" width="6.140625" style="101" customWidth="1"/>
    <col min="5132" max="5132" width="6.7109375" style="101" customWidth="1"/>
    <col min="5133" max="5133" width="5.42578125" style="101" customWidth="1"/>
    <col min="5134" max="5135" width="6.140625" style="101" customWidth="1"/>
    <col min="5136" max="5136" width="5.42578125" style="101" customWidth="1"/>
    <col min="5137" max="5137" width="6.28515625" style="101" customWidth="1"/>
    <col min="5138" max="5138" width="6" style="101" customWidth="1"/>
    <col min="5139" max="5139" width="6.7109375" style="101" customWidth="1"/>
    <col min="5140" max="5140" width="5.42578125" style="101" customWidth="1"/>
    <col min="5141" max="5141" width="6.5703125" style="101" customWidth="1"/>
    <col min="5142" max="5142" width="8.28515625" style="101" customWidth="1"/>
    <col min="5143" max="5143" width="5.42578125" style="101" customWidth="1"/>
    <col min="5144" max="5144" width="7.7109375" style="101" customWidth="1"/>
    <col min="5145" max="5145" width="6.42578125" style="101" customWidth="1"/>
    <col min="5146" max="5146" width="6" style="101" customWidth="1"/>
    <col min="5147" max="5147" width="6.28515625" style="101" customWidth="1"/>
    <col min="5148" max="5148" width="5.42578125" style="101" customWidth="1"/>
    <col min="5149" max="5149" width="6.42578125" style="101" customWidth="1"/>
    <col min="5150" max="5150" width="5.42578125" style="101" customWidth="1"/>
    <col min="5151" max="5151" width="6" style="101" customWidth="1"/>
    <col min="5152" max="5152" width="6.42578125" style="101" customWidth="1"/>
    <col min="5153" max="5376" width="10.28515625" style="101"/>
    <col min="5377" max="5377" width="5.28515625" style="101" customWidth="1"/>
    <col min="5378" max="5378" width="16.140625" style="101" customWidth="1"/>
    <col min="5379" max="5379" width="6.140625" style="101" customWidth="1"/>
    <col min="5380" max="5380" width="5.42578125" style="101" customWidth="1"/>
    <col min="5381" max="5381" width="6.85546875" style="101" customWidth="1"/>
    <col min="5382" max="5382" width="7.28515625" style="101" customWidth="1"/>
    <col min="5383" max="5383" width="6.5703125" style="101" customWidth="1"/>
    <col min="5384" max="5384" width="6.42578125" style="101" customWidth="1"/>
    <col min="5385" max="5385" width="7" style="101" customWidth="1"/>
    <col min="5386" max="5386" width="6.85546875" style="101" customWidth="1"/>
    <col min="5387" max="5387" width="6.140625" style="101" customWidth="1"/>
    <col min="5388" max="5388" width="6.7109375" style="101" customWidth="1"/>
    <col min="5389" max="5389" width="5.42578125" style="101" customWidth="1"/>
    <col min="5390" max="5391" width="6.140625" style="101" customWidth="1"/>
    <col min="5392" max="5392" width="5.42578125" style="101" customWidth="1"/>
    <col min="5393" max="5393" width="6.28515625" style="101" customWidth="1"/>
    <col min="5394" max="5394" width="6" style="101" customWidth="1"/>
    <col min="5395" max="5395" width="6.7109375" style="101" customWidth="1"/>
    <col min="5396" max="5396" width="5.42578125" style="101" customWidth="1"/>
    <col min="5397" max="5397" width="6.5703125" style="101" customWidth="1"/>
    <col min="5398" max="5398" width="8.28515625" style="101" customWidth="1"/>
    <col min="5399" max="5399" width="5.42578125" style="101" customWidth="1"/>
    <col min="5400" max="5400" width="7.7109375" style="101" customWidth="1"/>
    <col min="5401" max="5401" width="6.42578125" style="101" customWidth="1"/>
    <col min="5402" max="5402" width="6" style="101" customWidth="1"/>
    <col min="5403" max="5403" width="6.28515625" style="101" customWidth="1"/>
    <col min="5404" max="5404" width="5.42578125" style="101" customWidth="1"/>
    <col min="5405" max="5405" width="6.42578125" style="101" customWidth="1"/>
    <col min="5406" max="5406" width="5.42578125" style="101" customWidth="1"/>
    <col min="5407" max="5407" width="6" style="101" customWidth="1"/>
    <col min="5408" max="5408" width="6.42578125" style="101" customWidth="1"/>
    <col min="5409" max="5632" width="10.28515625" style="101"/>
    <col min="5633" max="5633" width="5.28515625" style="101" customWidth="1"/>
    <col min="5634" max="5634" width="16.140625" style="101" customWidth="1"/>
    <col min="5635" max="5635" width="6.140625" style="101" customWidth="1"/>
    <col min="5636" max="5636" width="5.42578125" style="101" customWidth="1"/>
    <col min="5637" max="5637" width="6.85546875" style="101" customWidth="1"/>
    <col min="5638" max="5638" width="7.28515625" style="101" customWidth="1"/>
    <col min="5639" max="5639" width="6.5703125" style="101" customWidth="1"/>
    <col min="5640" max="5640" width="6.42578125" style="101" customWidth="1"/>
    <col min="5641" max="5641" width="7" style="101" customWidth="1"/>
    <col min="5642" max="5642" width="6.85546875" style="101" customWidth="1"/>
    <col min="5643" max="5643" width="6.140625" style="101" customWidth="1"/>
    <col min="5644" max="5644" width="6.7109375" style="101" customWidth="1"/>
    <col min="5645" max="5645" width="5.42578125" style="101" customWidth="1"/>
    <col min="5646" max="5647" width="6.140625" style="101" customWidth="1"/>
    <col min="5648" max="5648" width="5.42578125" style="101" customWidth="1"/>
    <col min="5649" max="5649" width="6.28515625" style="101" customWidth="1"/>
    <col min="5650" max="5650" width="6" style="101" customWidth="1"/>
    <col min="5651" max="5651" width="6.7109375" style="101" customWidth="1"/>
    <col min="5652" max="5652" width="5.42578125" style="101" customWidth="1"/>
    <col min="5653" max="5653" width="6.5703125" style="101" customWidth="1"/>
    <col min="5654" max="5654" width="8.28515625" style="101" customWidth="1"/>
    <col min="5655" max="5655" width="5.42578125" style="101" customWidth="1"/>
    <col min="5656" max="5656" width="7.7109375" style="101" customWidth="1"/>
    <col min="5657" max="5657" width="6.42578125" style="101" customWidth="1"/>
    <col min="5658" max="5658" width="6" style="101" customWidth="1"/>
    <col min="5659" max="5659" width="6.28515625" style="101" customWidth="1"/>
    <col min="5660" max="5660" width="5.42578125" style="101" customWidth="1"/>
    <col min="5661" max="5661" width="6.42578125" style="101" customWidth="1"/>
    <col min="5662" max="5662" width="5.42578125" style="101" customWidth="1"/>
    <col min="5663" max="5663" width="6" style="101" customWidth="1"/>
    <col min="5664" max="5664" width="6.42578125" style="101" customWidth="1"/>
    <col min="5665" max="5888" width="10.28515625" style="101"/>
    <col min="5889" max="5889" width="5.28515625" style="101" customWidth="1"/>
    <col min="5890" max="5890" width="16.140625" style="101" customWidth="1"/>
    <col min="5891" max="5891" width="6.140625" style="101" customWidth="1"/>
    <col min="5892" max="5892" width="5.42578125" style="101" customWidth="1"/>
    <col min="5893" max="5893" width="6.85546875" style="101" customWidth="1"/>
    <col min="5894" max="5894" width="7.28515625" style="101" customWidth="1"/>
    <col min="5895" max="5895" width="6.5703125" style="101" customWidth="1"/>
    <col min="5896" max="5896" width="6.42578125" style="101" customWidth="1"/>
    <col min="5897" max="5897" width="7" style="101" customWidth="1"/>
    <col min="5898" max="5898" width="6.85546875" style="101" customWidth="1"/>
    <col min="5899" max="5899" width="6.140625" style="101" customWidth="1"/>
    <col min="5900" max="5900" width="6.7109375" style="101" customWidth="1"/>
    <col min="5901" max="5901" width="5.42578125" style="101" customWidth="1"/>
    <col min="5902" max="5903" width="6.140625" style="101" customWidth="1"/>
    <col min="5904" max="5904" width="5.42578125" style="101" customWidth="1"/>
    <col min="5905" max="5905" width="6.28515625" style="101" customWidth="1"/>
    <col min="5906" max="5906" width="6" style="101" customWidth="1"/>
    <col min="5907" max="5907" width="6.7109375" style="101" customWidth="1"/>
    <col min="5908" max="5908" width="5.42578125" style="101" customWidth="1"/>
    <col min="5909" max="5909" width="6.5703125" style="101" customWidth="1"/>
    <col min="5910" max="5910" width="8.28515625" style="101" customWidth="1"/>
    <col min="5911" max="5911" width="5.42578125" style="101" customWidth="1"/>
    <col min="5912" max="5912" width="7.7109375" style="101" customWidth="1"/>
    <col min="5913" max="5913" width="6.42578125" style="101" customWidth="1"/>
    <col min="5914" max="5914" width="6" style="101" customWidth="1"/>
    <col min="5915" max="5915" width="6.28515625" style="101" customWidth="1"/>
    <col min="5916" max="5916" width="5.42578125" style="101" customWidth="1"/>
    <col min="5917" max="5917" width="6.42578125" style="101" customWidth="1"/>
    <col min="5918" max="5918" width="5.42578125" style="101" customWidth="1"/>
    <col min="5919" max="5919" width="6" style="101" customWidth="1"/>
    <col min="5920" max="5920" width="6.42578125" style="101" customWidth="1"/>
    <col min="5921" max="6144" width="10.28515625" style="101"/>
    <col min="6145" max="6145" width="5.28515625" style="101" customWidth="1"/>
    <col min="6146" max="6146" width="16.140625" style="101" customWidth="1"/>
    <col min="6147" max="6147" width="6.140625" style="101" customWidth="1"/>
    <col min="6148" max="6148" width="5.42578125" style="101" customWidth="1"/>
    <col min="6149" max="6149" width="6.85546875" style="101" customWidth="1"/>
    <col min="6150" max="6150" width="7.28515625" style="101" customWidth="1"/>
    <col min="6151" max="6151" width="6.5703125" style="101" customWidth="1"/>
    <col min="6152" max="6152" width="6.42578125" style="101" customWidth="1"/>
    <col min="6153" max="6153" width="7" style="101" customWidth="1"/>
    <col min="6154" max="6154" width="6.85546875" style="101" customWidth="1"/>
    <col min="6155" max="6155" width="6.140625" style="101" customWidth="1"/>
    <col min="6156" max="6156" width="6.7109375" style="101" customWidth="1"/>
    <col min="6157" max="6157" width="5.42578125" style="101" customWidth="1"/>
    <col min="6158" max="6159" width="6.140625" style="101" customWidth="1"/>
    <col min="6160" max="6160" width="5.42578125" style="101" customWidth="1"/>
    <col min="6161" max="6161" width="6.28515625" style="101" customWidth="1"/>
    <col min="6162" max="6162" width="6" style="101" customWidth="1"/>
    <col min="6163" max="6163" width="6.7109375" style="101" customWidth="1"/>
    <col min="6164" max="6164" width="5.42578125" style="101" customWidth="1"/>
    <col min="6165" max="6165" width="6.5703125" style="101" customWidth="1"/>
    <col min="6166" max="6166" width="8.28515625" style="101" customWidth="1"/>
    <col min="6167" max="6167" width="5.42578125" style="101" customWidth="1"/>
    <col min="6168" max="6168" width="7.7109375" style="101" customWidth="1"/>
    <col min="6169" max="6169" width="6.42578125" style="101" customWidth="1"/>
    <col min="6170" max="6170" width="6" style="101" customWidth="1"/>
    <col min="6171" max="6171" width="6.28515625" style="101" customWidth="1"/>
    <col min="6172" max="6172" width="5.42578125" style="101" customWidth="1"/>
    <col min="6173" max="6173" width="6.42578125" style="101" customWidth="1"/>
    <col min="6174" max="6174" width="5.42578125" style="101" customWidth="1"/>
    <col min="6175" max="6175" width="6" style="101" customWidth="1"/>
    <col min="6176" max="6176" width="6.42578125" style="101" customWidth="1"/>
    <col min="6177" max="6400" width="10.28515625" style="101"/>
    <col min="6401" max="6401" width="5.28515625" style="101" customWidth="1"/>
    <col min="6402" max="6402" width="16.140625" style="101" customWidth="1"/>
    <col min="6403" max="6403" width="6.140625" style="101" customWidth="1"/>
    <col min="6404" max="6404" width="5.42578125" style="101" customWidth="1"/>
    <col min="6405" max="6405" width="6.85546875" style="101" customWidth="1"/>
    <col min="6406" max="6406" width="7.28515625" style="101" customWidth="1"/>
    <col min="6407" max="6407" width="6.5703125" style="101" customWidth="1"/>
    <col min="6408" max="6408" width="6.42578125" style="101" customWidth="1"/>
    <col min="6409" max="6409" width="7" style="101" customWidth="1"/>
    <col min="6410" max="6410" width="6.85546875" style="101" customWidth="1"/>
    <col min="6411" max="6411" width="6.140625" style="101" customWidth="1"/>
    <col min="6412" max="6412" width="6.7109375" style="101" customWidth="1"/>
    <col min="6413" max="6413" width="5.42578125" style="101" customWidth="1"/>
    <col min="6414" max="6415" width="6.140625" style="101" customWidth="1"/>
    <col min="6416" max="6416" width="5.42578125" style="101" customWidth="1"/>
    <col min="6417" max="6417" width="6.28515625" style="101" customWidth="1"/>
    <col min="6418" max="6418" width="6" style="101" customWidth="1"/>
    <col min="6419" max="6419" width="6.7109375" style="101" customWidth="1"/>
    <col min="6420" max="6420" width="5.42578125" style="101" customWidth="1"/>
    <col min="6421" max="6421" width="6.5703125" style="101" customWidth="1"/>
    <col min="6422" max="6422" width="8.28515625" style="101" customWidth="1"/>
    <col min="6423" max="6423" width="5.42578125" style="101" customWidth="1"/>
    <col min="6424" max="6424" width="7.7109375" style="101" customWidth="1"/>
    <col min="6425" max="6425" width="6.42578125" style="101" customWidth="1"/>
    <col min="6426" max="6426" width="6" style="101" customWidth="1"/>
    <col min="6427" max="6427" width="6.28515625" style="101" customWidth="1"/>
    <col min="6428" max="6428" width="5.42578125" style="101" customWidth="1"/>
    <col min="6429" max="6429" width="6.42578125" style="101" customWidth="1"/>
    <col min="6430" max="6430" width="5.42578125" style="101" customWidth="1"/>
    <col min="6431" max="6431" width="6" style="101" customWidth="1"/>
    <col min="6432" max="6432" width="6.42578125" style="101" customWidth="1"/>
    <col min="6433" max="6656" width="10.28515625" style="101"/>
    <col min="6657" max="6657" width="5.28515625" style="101" customWidth="1"/>
    <col min="6658" max="6658" width="16.140625" style="101" customWidth="1"/>
    <col min="6659" max="6659" width="6.140625" style="101" customWidth="1"/>
    <col min="6660" max="6660" width="5.42578125" style="101" customWidth="1"/>
    <col min="6661" max="6661" width="6.85546875" style="101" customWidth="1"/>
    <col min="6662" max="6662" width="7.28515625" style="101" customWidth="1"/>
    <col min="6663" max="6663" width="6.5703125" style="101" customWidth="1"/>
    <col min="6664" max="6664" width="6.42578125" style="101" customWidth="1"/>
    <col min="6665" max="6665" width="7" style="101" customWidth="1"/>
    <col min="6666" max="6666" width="6.85546875" style="101" customWidth="1"/>
    <col min="6667" max="6667" width="6.140625" style="101" customWidth="1"/>
    <col min="6668" max="6668" width="6.7109375" style="101" customWidth="1"/>
    <col min="6669" max="6669" width="5.42578125" style="101" customWidth="1"/>
    <col min="6670" max="6671" width="6.140625" style="101" customWidth="1"/>
    <col min="6672" max="6672" width="5.42578125" style="101" customWidth="1"/>
    <col min="6673" max="6673" width="6.28515625" style="101" customWidth="1"/>
    <col min="6674" max="6674" width="6" style="101" customWidth="1"/>
    <col min="6675" max="6675" width="6.7109375" style="101" customWidth="1"/>
    <col min="6676" max="6676" width="5.42578125" style="101" customWidth="1"/>
    <col min="6677" max="6677" width="6.5703125" style="101" customWidth="1"/>
    <col min="6678" max="6678" width="8.28515625" style="101" customWidth="1"/>
    <col min="6679" max="6679" width="5.42578125" style="101" customWidth="1"/>
    <col min="6680" max="6680" width="7.7109375" style="101" customWidth="1"/>
    <col min="6681" max="6681" width="6.42578125" style="101" customWidth="1"/>
    <col min="6682" max="6682" width="6" style="101" customWidth="1"/>
    <col min="6683" max="6683" width="6.28515625" style="101" customWidth="1"/>
    <col min="6684" max="6684" width="5.42578125" style="101" customWidth="1"/>
    <col min="6685" max="6685" width="6.42578125" style="101" customWidth="1"/>
    <col min="6686" max="6686" width="5.42578125" style="101" customWidth="1"/>
    <col min="6687" max="6687" width="6" style="101" customWidth="1"/>
    <col min="6688" max="6688" width="6.42578125" style="101" customWidth="1"/>
    <col min="6689" max="6912" width="10.28515625" style="101"/>
    <col min="6913" max="6913" width="5.28515625" style="101" customWidth="1"/>
    <col min="6914" max="6914" width="16.140625" style="101" customWidth="1"/>
    <col min="6915" max="6915" width="6.140625" style="101" customWidth="1"/>
    <col min="6916" max="6916" width="5.42578125" style="101" customWidth="1"/>
    <col min="6917" max="6917" width="6.85546875" style="101" customWidth="1"/>
    <col min="6918" max="6918" width="7.28515625" style="101" customWidth="1"/>
    <col min="6919" max="6919" width="6.5703125" style="101" customWidth="1"/>
    <col min="6920" max="6920" width="6.42578125" style="101" customWidth="1"/>
    <col min="6921" max="6921" width="7" style="101" customWidth="1"/>
    <col min="6922" max="6922" width="6.85546875" style="101" customWidth="1"/>
    <col min="6923" max="6923" width="6.140625" style="101" customWidth="1"/>
    <col min="6924" max="6924" width="6.7109375" style="101" customWidth="1"/>
    <col min="6925" max="6925" width="5.42578125" style="101" customWidth="1"/>
    <col min="6926" max="6927" width="6.140625" style="101" customWidth="1"/>
    <col min="6928" max="6928" width="5.42578125" style="101" customWidth="1"/>
    <col min="6929" max="6929" width="6.28515625" style="101" customWidth="1"/>
    <col min="6930" max="6930" width="6" style="101" customWidth="1"/>
    <col min="6931" max="6931" width="6.7109375" style="101" customWidth="1"/>
    <col min="6932" max="6932" width="5.42578125" style="101" customWidth="1"/>
    <col min="6933" max="6933" width="6.5703125" style="101" customWidth="1"/>
    <col min="6934" max="6934" width="8.28515625" style="101" customWidth="1"/>
    <col min="6935" max="6935" width="5.42578125" style="101" customWidth="1"/>
    <col min="6936" max="6936" width="7.7109375" style="101" customWidth="1"/>
    <col min="6937" max="6937" width="6.42578125" style="101" customWidth="1"/>
    <col min="6938" max="6938" width="6" style="101" customWidth="1"/>
    <col min="6939" max="6939" width="6.28515625" style="101" customWidth="1"/>
    <col min="6940" max="6940" width="5.42578125" style="101" customWidth="1"/>
    <col min="6941" max="6941" width="6.42578125" style="101" customWidth="1"/>
    <col min="6942" max="6942" width="5.42578125" style="101" customWidth="1"/>
    <col min="6943" max="6943" width="6" style="101" customWidth="1"/>
    <col min="6944" max="6944" width="6.42578125" style="101" customWidth="1"/>
    <col min="6945" max="7168" width="10.28515625" style="101"/>
    <col min="7169" max="7169" width="5.28515625" style="101" customWidth="1"/>
    <col min="7170" max="7170" width="16.140625" style="101" customWidth="1"/>
    <col min="7171" max="7171" width="6.140625" style="101" customWidth="1"/>
    <col min="7172" max="7172" width="5.42578125" style="101" customWidth="1"/>
    <col min="7173" max="7173" width="6.85546875" style="101" customWidth="1"/>
    <col min="7174" max="7174" width="7.28515625" style="101" customWidth="1"/>
    <col min="7175" max="7175" width="6.5703125" style="101" customWidth="1"/>
    <col min="7176" max="7176" width="6.42578125" style="101" customWidth="1"/>
    <col min="7177" max="7177" width="7" style="101" customWidth="1"/>
    <col min="7178" max="7178" width="6.85546875" style="101" customWidth="1"/>
    <col min="7179" max="7179" width="6.140625" style="101" customWidth="1"/>
    <col min="7180" max="7180" width="6.7109375" style="101" customWidth="1"/>
    <col min="7181" max="7181" width="5.42578125" style="101" customWidth="1"/>
    <col min="7182" max="7183" width="6.140625" style="101" customWidth="1"/>
    <col min="7184" max="7184" width="5.42578125" style="101" customWidth="1"/>
    <col min="7185" max="7185" width="6.28515625" style="101" customWidth="1"/>
    <col min="7186" max="7186" width="6" style="101" customWidth="1"/>
    <col min="7187" max="7187" width="6.7109375" style="101" customWidth="1"/>
    <col min="7188" max="7188" width="5.42578125" style="101" customWidth="1"/>
    <col min="7189" max="7189" width="6.5703125" style="101" customWidth="1"/>
    <col min="7190" max="7190" width="8.28515625" style="101" customWidth="1"/>
    <col min="7191" max="7191" width="5.42578125" style="101" customWidth="1"/>
    <col min="7192" max="7192" width="7.7109375" style="101" customWidth="1"/>
    <col min="7193" max="7193" width="6.42578125" style="101" customWidth="1"/>
    <col min="7194" max="7194" width="6" style="101" customWidth="1"/>
    <col min="7195" max="7195" width="6.28515625" style="101" customWidth="1"/>
    <col min="7196" max="7196" width="5.42578125" style="101" customWidth="1"/>
    <col min="7197" max="7197" width="6.42578125" style="101" customWidth="1"/>
    <col min="7198" max="7198" width="5.42578125" style="101" customWidth="1"/>
    <col min="7199" max="7199" width="6" style="101" customWidth="1"/>
    <col min="7200" max="7200" width="6.42578125" style="101" customWidth="1"/>
    <col min="7201" max="7424" width="10.28515625" style="101"/>
    <col min="7425" max="7425" width="5.28515625" style="101" customWidth="1"/>
    <col min="7426" max="7426" width="16.140625" style="101" customWidth="1"/>
    <col min="7427" max="7427" width="6.140625" style="101" customWidth="1"/>
    <col min="7428" max="7428" width="5.42578125" style="101" customWidth="1"/>
    <col min="7429" max="7429" width="6.85546875" style="101" customWidth="1"/>
    <col min="7430" max="7430" width="7.28515625" style="101" customWidth="1"/>
    <col min="7431" max="7431" width="6.5703125" style="101" customWidth="1"/>
    <col min="7432" max="7432" width="6.42578125" style="101" customWidth="1"/>
    <col min="7433" max="7433" width="7" style="101" customWidth="1"/>
    <col min="7434" max="7434" width="6.85546875" style="101" customWidth="1"/>
    <col min="7435" max="7435" width="6.140625" style="101" customWidth="1"/>
    <col min="7436" max="7436" width="6.7109375" style="101" customWidth="1"/>
    <col min="7437" max="7437" width="5.42578125" style="101" customWidth="1"/>
    <col min="7438" max="7439" width="6.140625" style="101" customWidth="1"/>
    <col min="7440" max="7440" width="5.42578125" style="101" customWidth="1"/>
    <col min="7441" max="7441" width="6.28515625" style="101" customWidth="1"/>
    <col min="7442" max="7442" width="6" style="101" customWidth="1"/>
    <col min="7443" max="7443" width="6.7109375" style="101" customWidth="1"/>
    <col min="7444" max="7444" width="5.42578125" style="101" customWidth="1"/>
    <col min="7445" max="7445" width="6.5703125" style="101" customWidth="1"/>
    <col min="7446" max="7446" width="8.28515625" style="101" customWidth="1"/>
    <col min="7447" max="7447" width="5.42578125" style="101" customWidth="1"/>
    <col min="7448" max="7448" width="7.7109375" style="101" customWidth="1"/>
    <col min="7449" max="7449" width="6.42578125" style="101" customWidth="1"/>
    <col min="7450" max="7450" width="6" style="101" customWidth="1"/>
    <col min="7451" max="7451" width="6.28515625" style="101" customWidth="1"/>
    <col min="7452" max="7452" width="5.42578125" style="101" customWidth="1"/>
    <col min="7453" max="7453" width="6.42578125" style="101" customWidth="1"/>
    <col min="7454" max="7454" width="5.42578125" style="101" customWidth="1"/>
    <col min="7455" max="7455" width="6" style="101" customWidth="1"/>
    <col min="7456" max="7456" width="6.42578125" style="101" customWidth="1"/>
    <col min="7457" max="7680" width="10.28515625" style="101"/>
    <col min="7681" max="7681" width="5.28515625" style="101" customWidth="1"/>
    <col min="7682" max="7682" width="16.140625" style="101" customWidth="1"/>
    <col min="7683" max="7683" width="6.140625" style="101" customWidth="1"/>
    <col min="7684" max="7684" width="5.42578125" style="101" customWidth="1"/>
    <col min="7685" max="7685" width="6.85546875" style="101" customWidth="1"/>
    <col min="7686" max="7686" width="7.28515625" style="101" customWidth="1"/>
    <col min="7687" max="7687" width="6.5703125" style="101" customWidth="1"/>
    <col min="7688" max="7688" width="6.42578125" style="101" customWidth="1"/>
    <col min="7689" max="7689" width="7" style="101" customWidth="1"/>
    <col min="7690" max="7690" width="6.85546875" style="101" customWidth="1"/>
    <col min="7691" max="7691" width="6.140625" style="101" customWidth="1"/>
    <col min="7692" max="7692" width="6.7109375" style="101" customWidth="1"/>
    <col min="7693" max="7693" width="5.42578125" style="101" customWidth="1"/>
    <col min="7694" max="7695" width="6.140625" style="101" customWidth="1"/>
    <col min="7696" max="7696" width="5.42578125" style="101" customWidth="1"/>
    <col min="7697" max="7697" width="6.28515625" style="101" customWidth="1"/>
    <col min="7698" max="7698" width="6" style="101" customWidth="1"/>
    <col min="7699" max="7699" width="6.7109375" style="101" customWidth="1"/>
    <col min="7700" max="7700" width="5.42578125" style="101" customWidth="1"/>
    <col min="7701" max="7701" width="6.5703125" style="101" customWidth="1"/>
    <col min="7702" max="7702" width="8.28515625" style="101" customWidth="1"/>
    <col min="7703" max="7703" width="5.42578125" style="101" customWidth="1"/>
    <col min="7704" max="7704" width="7.7109375" style="101" customWidth="1"/>
    <col min="7705" max="7705" width="6.42578125" style="101" customWidth="1"/>
    <col min="7706" max="7706" width="6" style="101" customWidth="1"/>
    <col min="7707" max="7707" width="6.28515625" style="101" customWidth="1"/>
    <col min="7708" max="7708" width="5.42578125" style="101" customWidth="1"/>
    <col min="7709" max="7709" width="6.42578125" style="101" customWidth="1"/>
    <col min="7710" max="7710" width="5.42578125" style="101" customWidth="1"/>
    <col min="7711" max="7711" width="6" style="101" customWidth="1"/>
    <col min="7712" max="7712" width="6.42578125" style="101" customWidth="1"/>
    <col min="7713" max="7936" width="10.28515625" style="101"/>
    <col min="7937" max="7937" width="5.28515625" style="101" customWidth="1"/>
    <col min="7938" max="7938" width="16.140625" style="101" customWidth="1"/>
    <col min="7939" max="7939" width="6.140625" style="101" customWidth="1"/>
    <col min="7940" max="7940" width="5.42578125" style="101" customWidth="1"/>
    <col min="7941" max="7941" width="6.85546875" style="101" customWidth="1"/>
    <col min="7942" max="7942" width="7.28515625" style="101" customWidth="1"/>
    <col min="7943" max="7943" width="6.5703125" style="101" customWidth="1"/>
    <col min="7944" max="7944" width="6.42578125" style="101" customWidth="1"/>
    <col min="7945" max="7945" width="7" style="101" customWidth="1"/>
    <col min="7946" max="7946" width="6.85546875" style="101" customWidth="1"/>
    <col min="7947" max="7947" width="6.140625" style="101" customWidth="1"/>
    <col min="7948" max="7948" width="6.7109375" style="101" customWidth="1"/>
    <col min="7949" max="7949" width="5.42578125" style="101" customWidth="1"/>
    <col min="7950" max="7951" width="6.140625" style="101" customWidth="1"/>
    <col min="7952" max="7952" width="5.42578125" style="101" customWidth="1"/>
    <col min="7953" max="7953" width="6.28515625" style="101" customWidth="1"/>
    <col min="7954" max="7954" width="6" style="101" customWidth="1"/>
    <col min="7955" max="7955" width="6.7109375" style="101" customWidth="1"/>
    <col min="7956" max="7956" width="5.42578125" style="101" customWidth="1"/>
    <col min="7957" max="7957" width="6.5703125" style="101" customWidth="1"/>
    <col min="7958" max="7958" width="8.28515625" style="101" customWidth="1"/>
    <col min="7959" max="7959" width="5.42578125" style="101" customWidth="1"/>
    <col min="7960" max="7960" width="7.7109375" style="101" customWidth="1"/>
    <col min="7961" max="7961" width="6.42578125" style="101" customWidth="1"/>
    <col min="7962" max="7962" width="6" style="101" customWidth="1"/>
    <col min="7963" max="7963" width="6.28515625" style="101" customWidth="1"/>
    <col min="7964" max="7964" width="5.42578125" style="101" customWidth="1"/>
    <col min="7965" max="7965" width="6.42578125" style="101" customWidth="1"/>
    <col min="7966" max="7966" width="5.42578125" style="101" customWidth="1"/>
    <col min="7967" max="7967" width="6" style="101" customWidth="1"/>
    <col min="7968" max="7968" width="6.42578125" style="101" customWidth="1"/>
    <col min="7969" max="8192" width="10.28515625" style="101"/>
    <col min="8193" max="8193" width="5.28515625" style="101" customWidth="1"/>
    <col min="8194" max="8194" width="16.140625" style="101" customWidth="1"/>
    <col min="8195" max="8195" width="6.140625" style="101" customWidth="1"/>
    <col min="8196" max="8196" width="5.42578125" style="101" customWidth="1"/>
    <col min="8197" max="8197" width="6.85546875" style="101" customWidth="1"/>
    <col min="8198" max="8198" width="7.28515625" style="101" customWidth="1"/>
    <col min="8199" max="8199" width="6.5703125" style="101" customWidth="1"/>
    <col min="8200" max="8200" width="6.42578125" style="101" customWidth="1"/>
    <col min="8201" max="8201" width="7" style="101" customWidth="1"/>
    <col min="8202" max="8202" width="6.85546875" style="101" customWidth="1"/>
    <col min="8203" max="8203" width="6.140625" style="101" customWidth="1"/>
    <col min="8204" max="8204" width="6.7109375" style="101" customWidth="1"/>
    <col min="8205" max="8205" width="5.42578125" style="101" customWidth="1"/>
    <col min="8206" max="8207" width="6.140625" style="101" customWidth="1"/>
    <col min="8208" max="8208" width="5.42578125" style="101" customWidth="1"/>
    <col min="8209" max="8209" width="6.28515625" style="101" customWidth="1"/>
    <col min="8210" max="8210" width="6" style="101" customWidth="1"/>
    <col min="8211" max="8211" width="6.7109375" style="101" customWidth="1"/>
    <col min="8212" max="8212" width="5.42578125" style="101" customWidth="1"/>
    <col min="8213" max="8213" width="6.5703125" style="101" customWidth="1"/>
    <col min="8214" max="8214" width="8.28515625" style="101" customWidth="1"/>
    <col min="8215" max="8215" width="5.42578125" style="101" customWidth="1"/>
    <col min="8216" max="8216" width="7.7109375" style="101" customWidth="1"/>
    <col min="8217" max="8217" width="6.42578125" style="101" customWidth="1"/>
    <col min="8218" max="8218" width="6" style="101" customWidth="1"/>
    <col min="8219" max="8219" width="6.28515625" style="101" customWidth="1"/>
    <col min="8220" max="8220" width="5.42578125" style="101" customWidth="1"/>
    <col min="8221" max="8221" width="6.42578125" style="101" customWidth="1"/>
    <col min="8222" max="8222" width="5.42578125" style="101" customWidth="1"/>
    <col min="8223" max="8223" width="6" style="101" customWidth="1"/>
    <col min="8224" max="8224" width="6.42578125" style="101" customWidth="1"/>
    <col min="8225" max="8448" width="10.28515625" style="101"/>
    <col min="8449" max="8449" width="5.28515625" style="101" customWidth="1"/>
    <col min="8450" max="8450" width="16.140625" style="101" customWidth="1"/>
    <col min="8451" max="8451" width="6.140625" style="101" customWidth="1"/>
    <col min="8452" max="8452" width="5.42578125" style="101" customWidth="1"/>
    <col min="8453" max="8453" width="6.85546875" style="101" customWidth="1"/>
    <col min="8454" max="8454" width="7.28515625" style="101" customWidth="1"/>
    <col min="8455" max="8455" width="6.5703125" style="101" customWidth="1"/>
    <col min="8456" max="8456" width="6.42578125" style="101" customWidth="1"/>
    <col min="8457" max="8457" width="7" style="101" customWidth="1"/>
    <col min="8458" max="8458" width="6.85546875" style="101" customWidth="1"/>
    <col min="8459" max="8459" width="6.140625" style="101" customWidth="1"/>
    <col min="8460" max="8460" width="6.7109375" style="101" customWidth="1"/>
    <col min="8461" max="8461" width="5.42578125" style="101" customWidth="1"/>
    <col min="8462" max="8463" width="6.140625" style="101" customWidth="1"/>
    <col min="8464" max="8464" width="5.42578125" style="101" customWidth="1"/>
    <col min="8465" max="8465" width="6.28515625" style="101" customWidth="1"/>
    <col min="8466" max="8466" width="6" style="101" customWidth="1"/>
    <col min="8467" max="8467" width="6.7109375" style="101" customWidth="1"/>
    <col min="8468" max="8468" width="5.42578125" style="101" customWidth="1"/>
    <col min="8469" max="8469" width="6.5703125" style="101" customWidth="1"/>
    <col min="8470" max="8470" width="8.28515625" style="101" customWidth="1"/>
    <col min="8471" max="8471" width="5.42578125" style="101" customWidth="1"/>
    <col min="8472" max="8472" width="7.7109375" style="101" customWidth="1"/>
    <col min="8473" max="8473" width="6.42578125" style="101" customWidth="1"/>
    <col min="8474" max="8474" width="6" style="101" customWidth="1"/>
    <col min="8475" max="8475" width="6.28515625" style="101" customWidth="1"/>
    <col min="8476" max="8476" width="5.42578125" style="101" customWidth="1"/>
    <col min="8477" max="8477" width="6.42578125" style="101" customWidth="1"/>
    <col min="8478" max="8478" width="5.42578125" style="101" customWidth="1"/>
    <col min="8479" max="8479" width="6" style="101" customWidth="1"/>
    <col min="8480" max="8480" width="6.42578125" style="101" customWidth="1"/>
    <col min="8481" max="8704" width="10.28515625" style="101"/>
    <col min="8705" max="8705" width="5.28515625" style="101" customWidth="1"/>
    <col min="8706" max="8706" width="16.140625" style="101" customWidth="1"/>
    <col min="8707" max="8707" width="6.140625" style="101" customWidth="1"/>
    <col min="8708" max="8708" width="5.42578125" style="101" customWidth="1"/>
    <col min="8709" max="8709" width="6.85546875" style="101" customWidth="1"/>
    <col min="8710" max="8710" width="7.28515625" style="101" customWidth="1"/>
    <col min="8711" max="8711" width="6.5703125" style="101" customWidth="1"/>
    <col min="8712" max="8712" width="6.42578125" style="101" customWidth="1"/>
    <col min="8713" max="8713" width="7" style="101" customWidth="1"/>
    <col min="8714" max="8714" width="6.85546875" style="101" customWidth="1"/>
    <col min="8715" max="8715" width="6.140625" style="101" customWidth="1"/>
    <col min="8716" max="8716" width="6.7109375" style="101" customWidth="1"/>
    <col min="8717" max="8717" width="5.42578125" style="101" customWidth="1"/>
    <col min="8718" max="8719" width="6.140625" style="101" customWidth="1"/>
    <col min="8720" max="8720" width="5.42578125" style="101" customWidth="1"/>
    <col min="8721" max="8721" width="6.28515625" style="101" customWidth="1"/>
    <col min="8722" max="8722" width="6" style="101" customWidth="1"/>
    <col min="8723" max="8723" width="6.7109375" style="101" customWidth="1"/>
    <col min="8724" max="8724" width="5.42578125" style="101" customWidth="1"/>
    <col min="8725" max="8725" width="6.5703125" style="101" customWidth="1"/>
    <col min="8726" max="8726" width="8.28515625" style="101" customWidth="1"/>
    <col min="8727" max="8727" width="5.42578125" style="101" customWidth="1"/>
    <col min="8728" max="8728" width="7.7109375" style="101" customWidth="1"/>
    <col min="8729" max="8729" width="6.42578125" style="101" customWidth="1"/>
    <col min="8730" max="8730" width="6" style="101" customWidth="1"/>
    <col min="8731" max="8731" width="6.28515625" style="101" customWidth="1"/>
    <col min="8732" max="8732" width="5.42578125" style="101" customWidth="1"/>
    <col min="8733" max="8733" width="6.42578125" style="101" customWidth="1"/>
    <col min="8734" max="8734" width="5.42578125" style="101" customWidth="1"/>
    <col min="8735" max="8735" width="6" style="101" customWidth="1"/>
    <col min="8736" max="8736" width="6.42578125" style="101" customWidth="1"/>
    <col min="8737" max="8960" width="10.28515625" style="101"/>
    <col min="8961" max="8961" width="5.28515625" style="101" customWidth="1"/>
    <col min="8962" max="8962" width="16.140625" style="101" customWidth="1"/>
    <col min="8963" max="8963" width="6.140625" style="101" customWidth="1"/>
    <col min="8964" max="8964" width="5.42578125" style="101" customWidth="1"/>
    <col min="8965" max="8965" width="6.85546875" style="101" customWidth="1"/>
    <col min="8966" max="8966" width="7.28515625" style="101" customWidth="1"/>
    <col min="8967" max="8967" width="6.5703125" style="101" customWidth="1"/>
    <col min="8968" max="8968" width="6.42578125" style="101" customWidth="1"/>
    <col min="8969" max="8969" width="7" style="101" customWidth="1"/>
    <col min="8970" max="8970" width="6.85546875" style="101" customWidth="1"/>
    <col min="8971" max="8971" width="6.140625" style="101" customWidth="1"/>
    <col min="8972" max="8972" width="6.7109375" style="101" customWidth="1"/>
    <col min="8973" max="8973" width="5.42578125" style="101" customWidth="1"/>
    <col min="8974" max="8975" width="6.140625" style="101" customWidth="1"/>
    <col min="8976" max="8976" width="5.42578125" style="101" customWidth="1"/>
    <col min="8977" max="8977" width="6.28515625" style="101" customWidth="1"/>
    <col min="8978" max="8978" width="6" style="101" customWidth="1"/>
    <col min="8979" max="8979" width="6.7109375" style="101" customWidth="1"/>
    <col min="8980" max="8980" width="5.42578125" style="101" customWidth="1"/>
    <col min="8981" max="8981" width="6.5703125" style="101" customWidth="1"/>
    <col min="8982" max="8982" width="8.28515625" style="101" customWidth="1"/>
    <col min="8983" max="8983" width="5.42578125" style="101" customWidth="1"/>
    <col min="8984" max="8984" width="7.7109375" style="101" customWidth="1"/>
    <col min="8985" max="8985" width="6.42578125" style="101" customWidth="1"/>
    <col min="8986" max="8986" width="6" style="101" customWidth="1"/>
    <col min="8987" max="8987" width="6.28515625" style="101" customWidth="1"/>
    <col min="8988" max="8988" width="5.42578125" style="101" customWidth="1"/>
    <col min="8989" max="8989" width="6.42578125" style="101" customWidth="1"/>
    <col min="8990" max="8990" width="5.42578125" style="101" customWidth="1"/>
    <col min="8991" max="8991" width="6" style="101" customWidth="1"/>
    <col min="8992" max="8992" width="6.42578125" style="101" customWidth="1"/>
    <col min="8993" max="9216" width="10.28515625" style="101"/>
    <col min="9217" max="9217" width="5.28515625" style="101" customWidth="1"/>
    <col min="9218" max="9218" width="16.140625" style="101" customWidth="1"/>
    <col min="9219" max="9219" width="6.140625" style="101" customWidth="1"/>
    <col min="9220" max="9220" width="5.42578125" style="101" customWidth="1"/>
    <col min="9221" max="9221" width="6.85546875" style="101" customWidth="1"/>
    <col min="9222" max="9222" width="7.28515625" style="101" customWidth="1"/>
    <col min="9223" max="9223" width="6.5703125" style="101" customWidth="1"/>
    <col min="9224" max="9224" width="6.42578125" style="101" customWidth="1"/>
    <col min="9225" max="9225" width="7" style="101" customWidth="1"/>
    <col min="9226" max="9226" width="6.85546875" style="101" customWidth="1"/>
    <col min="9227" max="9227" width="6.140625" style="101" customWidth="1"/>
    <col min="9228" max="9228" width="6.7109375" style="101" customWidth="1"/>
    <col min="9229" max="9229" width="5.42578125" style="101" customWidth="1"/>
    <col min="9230" max="9231" width="6.140625" style="101" customWidth="1"/>
    <col min="9232" max="9232" width="5.42578125" style="101" customWidth="1"/>
    <col min="9233" max="9233" width="6.28515625" style="101" customWidth="1"/>
    <col min="9234" max="9234" width="6" style="101" customWidth="1"/>
    <col min="9235" max="9235" width="6.7109375" style="101" customWidth="1"/>
    <col min="9236" max="9236" width="5.42578125" style="101" customWidth="1"/>
    <col min="9237" max="9237" width="6.5703125" style="101" customWidth="1"/>
    <col min="9238" max="9238" width="8.28515625" style="101" customWidth="1"/>
    <col min="9239" max="9239" width="5.42578125" style="101" customWidth="1"/>
    <col min="9240" max="9240" width="7.7109375" style="101" customWidth="1"/>
    <col min="9241" max="9241" width="6.42578125" style="101" customWidth="1"/>
    <col min="9242" max="9242" width="6" style="101" customWidth="1"/>
    <col min="9243" max="9243" width="6.28515625" style="101" customWidth="1"/>
    <col min="9244" max="9244" width="5.42578125" style="101" customWidth="1"/>
    <col min="9245" max="9245" width="6.42578125" style="101" customWidth="1"/>
    <col min="9246" max="9246" width="5.42578125" style="101" customWidth="1"/>
    <col min="9247" max="9247" width="6" style="101" customWidth="1"/>
    <col min="9248" max="9248" width="6.42578125" style="101" customWidth="1"/>
    <col min="9249" max="9472" width="10.28515625" style="101"/>
    <col min="9473" max="9473" width="5.28515625" style="101" customWidth="1"/>
    <col min="9474" max="9474" width="16.140625" style="101" customWidth="1"/>
    <col min="9475" max="9475" width="6.140625" style="101" customWidth="1"/>
    <col min="9476" max="9476" width="5.42578125" style="101" customWidth="1"/>
    <col min="9477" max="9477" width="6.85546875" style="101" customWidth="1"/>
    <col min="9478" max="9478" width="7.28515625" style="101" customWidth="1"/>
    <col min="9479" max="9479" width="6.5703125" style="101" customWidth="1"/>
    <col min="9480" max="9480" width="6.42578125" style="101" customWidth="1"/>
    <col min="9481" max="9481" width="7" style="101" customWidth="1"/>
    <col min="9482" max="9482" width="6.85546875" style="101" customWidth="1"/>
    <col min="9483" max="9483" width="6.140625" style="101" customWidth="1"/>
    <col min="9484" max="9484" width="6.7109375" style="101" customWidth="1"/>
    <col min="9485" max="9485" width="5.42578125" style="101" customWidth="1"/>
    <col min="9486" max="9487" width="6.140625" style="101" customWidth="1"/>
    <col min="9488" max="9488" width="5.42578125" style="101" customWidth="1"/>
    <col min="9489" max="9489" width="6.28515625" style="101" customWidth="1"/>
    <col min="9490" max="9490" width="6" style="101" customWidth="1"/>
    <col min="9491" max="9491" width="6.7109375" style="101" customWidth="1"/>
    <col min="9492" max="9492" width="5.42578125" style="101" customWidth="1"/>
    <col min="9493" max="9493" width="6.5703125" style="101" customWidth="1"/>
    <col min="9494" max="9494" width="8.28515625" style="101" customWidth="1"/>
    <col min="9495" max="9495" width="5.42578125" style="101" customWidth="1"/>
    <col min="9496" max="9496" width="7.7109375" style="101" customWidth="1"/>
    <col min="9497" max="9497" width="6.42578125" style="101" customWidth="1"/>
    <col min="9498" max="9498" width="6" style="101" customWidth="1"/>
    <col min="9499" max="9499" width="6.28515625" style="101" customWidth="1"/>
    <col min="9500" max="9500" width="5.42578125" style="101" customWidth="1"/>
    <col min="9501" max="9501" width="6.42578125" style="101" customWidth="1"/>
    <col min="9502" max="9502" width="5.42578125" style="101" customWidth="1"/>
    <col min="9503" max="9503" width="6" style="101" customWidth="1"/>
    <col min="9504" max="9504" width="6.42578125" style="101" customWidth="1"/>
    <col min="9505" max="9728" width="10.28515625" style="101"/>
    <col min="9729" max="9729" width="5.28515625" style="101" customWidth="1"/>
    <col min="9730" max="9730" width="16.140625" style="101" customWidth="1"/>
    <col min="9731" max="9731" width="6.140625" style="101" customWidth="1"/>
    <col min="9732" max="9732" width="5.42578125" style="101" customWidth="1"/>
    <col min="9733" max="9733" width="6.85546875" style="101" customWidth="1"/>
    <col min="9734" max="9734" width="7.28515625" style="101" customWidth="1"/>
    <col min="9735" max="9735" width="6.5703125" style="101" customWidth="1"/>
    <col min="9736" max="9736" width="6.42578125" style="101" customWidth="1"/>
    <col min="9737" max="9737" width="7" style="101" customWidth="1"/>
    <col min="9738" max="9738" width="6.85546875" style="101" customWidth="1"/>
    <col min="9739" max="9739" width="6.140625" style="101" customWidth="1"/>
    <col min="9740" max="9740" width="6.7109375" style="101" customWidth="1"/>
    <col min="9741" max="9741" width="5.42578125" style="101" customWidth="1"/>
    <col min="9742" max="9743" width="6.140625" style="101" customWidth="1"/>
    <col min="9744" max="9744" width="5.42578125" style="101" customWidth="1"/>
    <col min="9745" max="9745" width="6.28515625" style="101" customWidth="1"/>
    <col min="9746" max="9746" width="6" style="101" customWidth="1"/>
    <col min="9747" max="9747" width="6.7109375" style="101" customWidth="1"/>
    <col min="9748" max="9748" width="5.42578125" style="101" customWidth="1"/>
    <col min="9749" max="9749" width="6.5703125" style="101" customWidth="1"/>
    <col min="9750" max="9750" width="8.28515625" style="101" customWidth="1"/>
    <col min="9751" max="9751" width="5.42578125" style="101" customWidth="1"/>
    <col min="9752" max="9752" width="7.7109375" style="101" customWidth="1"/>
    <col min="9753" max="9753" width="6.42578125" style="101" customWidth="1"/>
    <col min="9754" max="9754" width="6" style="101" customWidth="1"/>
    <col min="9755" max="9755" width="6.28515625" style="101" customWidth="1"/>
    <col min="9756" max="9756" width="5.42578125" style="101" customWidth="1"/>
    <col min="9757" max="9757" width="6.42578125" style="101" customWidth="1"/>
    <col min="9758" max="9758" width="5.42578125" style="101" customWidth="1"/>
    <col min="9759" max="9759" width="6" style="101" customWidth="1"/>
    <col min="9760" max="9760" width="6.42578125" style="101" customWidth="1"/>
    <col min="9761" max="9984" width="10.28515625" style="101"/>
    <col min="9985" max="9985" width="5.28515625" style="101" customWidth="1"/>
    <col min="9986" max="9986" width="16.140625" style="101" customWidth="1"/>
    <col min="9987" max="9987" width="6.140625" style="101" customWidth="1"/>
    <col min="9988" max="9988" width="5.42578125" style="101" customWidth="1"/>
    <col min="9989" max="9989" width="6.85546875" style="101" customWidth="1"/>
    <col min="9990" max="9990" width="7.28515625" style="101" customWidth="1"/>
    <col min="9991" max="9991" width="6.5703125" style="101" customWidth="1"/>
    <col min="9992" max="9992" width="6.42578125" style="101" customWidth="1"/>
    <col min="9993" max="9993" width="7" style="101" customWidth="1"/>
    <col min="9994" max="9994" width="6.85546875" style="101" customWidth="1"/>
    <col min="9995" max="9995" width="6.140625" style="101" customWidth="1"/>
    <col min="9996" max="9996" width="6.7109375" style="101" customWidth="1"/>
    <col min="9997" max="9997" width="5.42578125" style="101" customWidth="1"/>
    <col min="9998" max="9999" width="6.140625" style="101" customWidth="1"/>
    <col min="10000" max="10000" width="5.42578125" style="101" customWidth="1"/>
    <col min="10001" max="10001" width="6.28515625" style="101" customWidth="1"/>
    <col min="10002" max="10002" width="6" style="101" customWidth="1"/>
    <col min="10003" max="10003" width="6.7109375" style="101" customWidth="1"/>
    <col min="10004" max="10004" width="5.42578125" style="101" customWidth="1"/>
    <col min="10005" max="10005" width="6.5703125" style="101" customWidth="1"/>
    <col min="10006" max="10006" width="8.28515625" style="101" customWidth="1"/>
    <col min="10007" max="10007" width="5.42578125" style="101" customWidth="1"/>
    <col min="10008" max="10008" width="7.7109375" style="101" customWidth="1"/>
    <col min="10009" max="10009" width="6.42578125" style="101" customWidth="1"/>
    <col min="10010" max="10010" width="6" style="101" customWidth="1"/>
    <col min="10011" max="10011" width="6.28515625" style="101" customWidth="1"/>
    <col min="10012" max="10012" width="5.42578125" style="101" customWidth="1"/>
    <col min="10013" max="10013" width="6.42578125" style="101" customWidth="1"/>
    <col min="10014" max="10014" width="5.42578125" style="101" customWidth="1"/>
    <col min="10015" max="10015" width="6" style="101" customWidth="1"/>
    <col min="10016" max="10016" width="6.42578125" style="101" customWidth="1"/>
    <col min="10017" max="10240" width="10.28515625" style="101"/>
    <col min="10241" max="10241" width="5.28515625" style="101" customWidth="1"/>
    <col min="10242" max="10242" width="16.140625" style="101" customWidth="1"/>
    <col min="10243" max="10243" width="6.140625" style="101" customWidth="1"/>
    <col min="10244" max="10244" width="5.42578125" style="101" customWidth="1"/>
    <col min="10245" max="10245" width="6.85546875" style="101" customWidth="1"/>
    <col min="10246" max="10246" width="7.28515625" style="101" customWidth="1"/>
    <col min="10247" max="10247" width="6.5703125" style="101" customWidth="1"/>
    <col min="10248" max="10248" width="6.42578125" style="101" customWidth="1"/>
    <col min="10249" max="10249" width="7" style="101" customWidth="1"/>
    <col min="10250" max="10250" width="6.85546875" style="101" customWidth="1"/>
    <col min="10251" max="10251" width="6.140625" style="101" customWidth="1"/>
    <col min="10252" max="10252" width="6.7109375" style="101" customWidth="1"/>
    <col min="10253" max="10253" width="5.42578125" style="101" customWidth="1"/>
    <col min="10254" max="10255" width="6.140625" style="101" customWidth="1"/>
    <col min="10256" max="10256" width="5.42578125" style="101" customWidth="1"/>
    <col min="10257" max="10257" width="6.28515625" style="101" customWidth="1"/>
    <col min="10258" max="10258" width="6" style="101" customWidth="1"/>
    <col min="10259" max="10259" width="6.7109375" style="101" customWidth="1"/>
    <col min="10260" max="10260" width="5.42578125" style="101" customWidth="1"/>
    <col min="10261" max="10261" width="6.5703125" style="101" customWidth="1"/>
    <col min="10262" max="10262" width="8.28515625" style="101" customWidth="1"/>
    <col min="10263" max="10263" width="5.42578125" style="101" customWidth="1"/>
    <col min="10264" max="10264" width="7.7109375" style="101" customWidth="1"/>
    <col min="10265" max="10265" width="6.42578125" style="101" customWidth="1"/>
    <col min="10266" max="10266" width="6" style="101" customWidth="1"/>
    <col min="10267" max="10267" width="6.28515625" style="101" customWidth="1"/>
    <col min="10268" max="10268" width="5.42578125" style="101" customWidth="1"/>
    <col min="10269" max="10269" width="6.42578125" style="101" customWidth="1"/>
    <col min="10270" max="10270" width="5.42578125" style="101" customWidth="1"/>
    <col min="10271" max="10271" width="6" style="101" customWidth="1"/>
    <col min="10272" max="10272" width="6.42578125" style="101" customWidth="1"/>
    <col min="10273" max="10496" width="10.28515625" style="101"/>
    <col min="10497" max="10497" width="5.28515625" style="101" customWidth="1"/>
    <col min="10498" max="10498" width="16.140625" style="101" customWidth="1"/>
    <col min="10499" max="10499" width="6.140625" style="101" customWidth="1"/>
    <col min="10500" max="10500" width="5.42578125" style="101" customWidth="1"/>
    <col min="10501" max="10501" width="6.85546875" style="101" customWidth="1"/>
    <col min="10502" max="10502" width="7.28515625" style="101" customWidth="1"/>
    <col min="10503" max="10503" width="6.5703125" style="101" customWidth="1"/>
    <col min="10504" max="10504" width="6.42578125" style="101" customWidth="1"/>
    <col min="10505" max="10505" width="7" style="101" customWidth="1"/>
    <col min="10506" max="10506" width="6.85546875" style="101" customWidth="1"/>
    <col min="10507" max="10507" width="6.140625" style="101" customWidth="1"/>
    <col min="10508" max="10508" width="6.7109375" style="101" customWidth="1"/>
    <col min="10509" max="10509" width="5.42578125" style="101" customWidth="1"/>
    <col min="10510" max="10511" width="6.140625" style="101" customWidth="1"/>
    <col min="10512" max="10512" width="5.42578125" style="101" customWidth="1"/>
    <col min="10513" max="10513" width="6.28515625" style="101" customWidth="1"/>
    <col min="10514" max="10514" width="6" style="101" customWidth="1"/>
    <col min="10515" max="10515" width="6.7109375" style="101" customWidth="1"/>
    <col min="10516" max="10516" width="5.42578125" style="101" customWidth="1"/>
    <col min="10517" max="10517" width="6.5703125" style="101" customWidth="1"/>
    <col min="10518" max="10518" width="8.28515625" style="101" customWidth="1"/>
    <col min="10519" max="10519" width="5.42578125" style="101" customWidth="1"/>
    <col min="10520" max="10520" width="7.7109375" style="101" customWidth="1"/>
    <col min="10521" max="10521" width="6.42578125" style="101" customWidth="1"/>
    <col min="10522" max="10522" width="6" style="101" customWidth="1"/>
    <col min="10523" max="10523" width="6.28515625" style="101" customWidth="1"/>
    <col min="10524" max="10524" width="5.42578125" style="101" customWidth="1"/>
    <col min="10525" max="10525" width="6.42578125" style="101" customWidth="1"/>
    <col min="10526" max="10526" width="5.42578125" style="101" customWidth="1"/>
    <col min="10527" max="10527" width="6" style="101" customWidth="1"/>
    <col min="10528" max="10528" width="6.42578125" style="101" customWidth="1"/>
    <col min="10529" max="10752" width="10.28515625" style="101"/>
    <col min="10753" max="10753" width="5.28515625" style="101" customWidth="1"/>
    <col min="10754" max="10754" width="16.140625" style="101" customWidth="1"/>
    <col min="10755" max="10755" width="6.140625" style="101" customWidth="1"/>
    <col min="10756" max="10756" width="5.42578125" style="101" customWidth="1"/>
    <col min="10757" max="10757" width="6.85546875" style="101" customWidth="1"/>
    <col min="10758" max="10758" width="7.28515625" style="101" customWidth="1"/>
    <col min="10759" max="10759" width="6.5703125" style="101" customWidth="1"/>
    <col min="10760" max="10760" width="6.42578125" style="101" customWidth="1"/>
    <col min="10761" max="10761" width="7" style="101" customWidth="1"/>
    <col min="10762" max="10762" width="6.85546875" style="101" customWidth="1"/>
    <col min="10763" max="10763" width="6.140625" style="101" customWidth="1"/>
    <col min="10764" max="10764" width="6.7109375" style="101" customWidth="1"/>
    <col min="10765" max="10765" width="5.42578125" style="101" customWidth="1"/>
    <col min="10766" max="10767" width="6.140625" style="101" customWidth="1"/>
    <col min="10768" max="10768" width="5.42578125" style="101" customWidth="1"/>
    <col min="10769" max="10769" width="6.28515625" style="101" customWidth="1"/>
    <col min="10770" max="10770" width="6" style="101" customWidth="1"/>
    <col min="10771" max="10771" width="6.7109375" style="101" customWidth="1"/>
    <col min="10772" max="10772" width="5.42578125" style="101" customWidth="1"/>
    <col min="10773" max="10773" width="6.5703125" style="101" customWidth="1"/>
    <col min="10774" max="10774" width="8.28515625" style="101" customWidth="1"/>
    <col min="10775" max="10775" width="5.42578125" style="101" customWidth="1"/>
    <col min="10776" max="10776" width="7.7109375" style="101" customWidth="1"/>
    <col min="10777" max="10777" width="6.42578125" style="101" customWidth="1"/>
    <col min="10778" max="10778" width="6" style="101" customWidth="1"/>
    <col min="10779" max="10779" width="6.28515625" style="101" customWidth="1"/>
    <col min="10780" max="10780" width="5.42578125" style="101" customWidth="1"/>
    <col min="10781" max="10781" width="6.42578125" style="101" customWidth="1"/>
    <col min="10782" max="10782" width="5.42578125" style="101" customWidth="1"/>
    <col min="10783" max="10783" width="6" style="101" customWidth="1"/>
    <col min="10784" max="10784" width="6.42578125" style="101" customWidth="1"/>
    <col min="10785" max="11008" width="10.28515625" style="101"/>
    <col min="11009" max="11009" width="5.28515625" style="101" customWidth="1"/>
    <col min="11010" max="11010" width="16.140625" style="101" customWidth="1"/>
    <col min="11011" max="11011" width="6.140625" style="101" customWidth="1"/>
    <col min="11012" max="11012" width="5.42578125" style="101" customWidth="1"/>
    <col min="11013" max="11013" width="6.85546875" style="101" customWidth="1"/>
    <col min="11014" max="11014" width="7.28515625" style="101" customWidth="1"/>
    <col min="11015" max="11015" width="6.5703125" style="101" customWidth="1"/>
    <col min="11016" max="11016" width="6.42578125" style="101" customWidth="1"/>
    <col min="11017" max="11017" width="7" style="101" customWidth="1"/>
    <col min="11018" max="11018" width="6.85546875" style="101" customWidth="1"/>
    <col min="11019" max="11019" width="6.140625" style="101" customWidth="1"/>
    <col min="11020" max="11020" width="6.7109375" style="101" customWidth="1"/>
    <col min="11021" max="11021" width="5.42578125" style="101" customWidth="1"/>
    <col min="11022" max="11023" width="6.140625" style="101" customWidth="1"/>
    <col min="11024" max="11024" width="5.42578125" style="101" customWidth="1"/>
    <col min="11025" max="11025" width="6.28515625" style="101" customWidth="1"/>
    <col min="11026" max="11026" width="6" style="101" customWidth="1"/>
    <col min="11027" max="11027" width="6.7109375" style="101" customWidth="1"/>
    <col min="11028" max="11028" width="5.42578125" style="101" customWidth="1"/>
    <col min="11029" max="11029" width="6.5703125" style="101" customWidth="1"/>
    <col min="11030" max="11030" width="8.28515625" style="101" customWidth="1"/>
    <col min="11031" max="11031" width="5.42578125" style="101" customWidth="1"/>
    <col min="11032" max="11032" width="7.7109375" style="101" customWidth="1"/>
    <col min="11033" max="11033" width="6.42578125" style="101" customWidth="1"/>
    <col min="11034" max="11034" width="6" style="101" customWidth="1"/>
    <col min="11035" max="11035" width="6.28515625" style="101" customWidth="1"/>
    <col min="11036" max="11036" width="5.42578125" style="101" customWidth="1"/>
    <col min="11037" max="11037" width="6.42578125" style="101" customWidth="1"/>
    <col min="11038" max="11038" width="5.42578125" style="101" customWidth="1"/>
    <col min="11039" max="11039" width="6" style="101" customWidth="1"/>
    <col min="11040" max="11040" width="6.42578125" style="101" customWidth="1"/>
    <col min="11041" max="11264" width="10.28515625" style="101"/>
    <col min="11265" max="11265" width="5.28515625" style="101" customWidth="1"/>
    <col min="11266" max="11266" width="16.140625" style="101" customWidth="1"/>
    <col min="11267" max="11267" width="6.140625" style="101" customWidth="1"/>
    <col min="11268" max="11268" width="5.42578125" style="101" customWidth="1"/>
    <col min="11269" max="11269" width="6.85546875" style="101" customWidth="1"/>
    <col min="11270" max="11270" width="7.28515625" style="101" customWidth="1"/>
    <col min="11271" max="11271" width="6.5703125" style="101" customWidth="1"/>
    <col min="11272" max="11272" width="6.42578125" style="101" customWidth="1"/>
    <col min="11273" max="11273" width="7" style="101" customWidth="1"/>
    <col min="11274" max="11274" width="6.85546875" style="101" customWidth="1"/>
    <col min="11275" max="11275" width="6.140625" style="101" customWidth="1"/>
    <col min="11276" max="11276" width="6.7109375" style="101" customWidth="1"/>
    <col min="11277" max="11277" width="5.42578125" style="101" customWidth="1"/>
    <col min="11278" max="11279" width="6.140625" style="101" customWidth="1"/>
    <col min="11280" max="11280" width="5.42578125" style="101" customWidth="1"/>
    <col min="11281" max="11281" width="6.28515625" style="101" customWidth="1"/>
    <col min="11282" max="11282" width="6" style="101" customWidth="1"/>
    <col min="11283" max="11283" width="6.7109375" style="101" customWidth="1"/>
    <col min="11284" max="11284" width="5.42578125" style="101" customWidth="1"/>
    <col min="11285" max="11285" width="6.5703125" style="101" customWidth="1"/>
    <col min="11286" max="11286" width="8.28515625" style="101" customWidth="1"/>
    <col min="11287" max="11287" width="5.42578125" style="101" customWidth="1"/>
    <col min="11288" max="11288" width="7.7109375" style="101" customWidth="1"/>
    <col min="11289" max="11289" width="6.42578125" style="101" customWidth="1"/>
    <col min="11290" max="11290" width="6" style="101" customWidth="1"/>
    <col min="11291" max="11291" width="6.28515625" style="101" customWidth="1"/>
    <col min="11292" max="11292" width="5.42578125" style="101" customWidth="1"/>
    <col min="11293" max="11293" width="6.42578125" style="101" customWidth="1"/>
    <col min="11294" max="11294" width="5.42578125" style="101" customWidth="1"/>
    <col min="11295" max="11295" width="6" style="101" customWidth="1"/>
    <col min="11296" max="11296" width="6.42578125" style="101" customWidth="1"/>
    <col min="11297" max="11520" width="10.28515625" style="101"/>
    <col min="11521" max="11521" width="5.28515625" style="101" customWidth="1"/>
    <col min="11522" max="11522" width="16.140625" style="101" customWidth="1"/>
    <col min="11523" max="11523" width="6.140625" style="101" customWidth="1"/>
    <col min="11524" max="11524" width="5.42578125" style="101" customWidth="1"/>
    <col min="11525" max="11525" width="6.85546875" style="101" customWidth="1"/>
    <col min="11526" max="11526" width="7.28515625" style="101" customWidth="1"/>
    <col min="11527" max="11527" width="6.5703125" style="101" customWidth="1"/>
    <col min="11528" max="11528" width="6.42578125" style="101" customWidth="1"/>
    <col min="11529" max="11529" width="7" style="101" customWidth="1"/>
    <col min="11530" max="11530" width="6.85546875" style="101" customWidth="1"/>
    <col min="11531" max="11531" width="6.140625" style="101" customWidth="1"/>
    <col min="11532" max="11532" width="6.7109375" style="101" customWidth="1"/>
    <col min="11533" max="11533" width="5.42578125" style="101" customWidth="1"/>
    <col min="11534" max="11535" width="6.140625" style="101" customWidth="1"/>
    <col min="11536" max="11536" width="5.42578125" style="101" customWidth="1"/>
    <col min="11537" max="11537" width="6.28515625" style="101" customWidth="1"/>
    <col min="11538" max="11538" width="6" style="101" customWidth="1"/>
    <col min="11539" max="11539" width="6.7109375" style="101" customWidth="1"/>
    <col min="11540" max="11540" width="5.42578125" style="101" customWidth="1"/>
    <col min="11541" max="11541" width="6.5703125" style="101" customWidth="1"/>
    <col min="11542" max="11542" width="8.28515625" style="101" customWidth="1"/>
    <col min="11543" max="11543" width="5.42578125" style="101" customWidth="1"/>
    <col min="11544" max="11544" width="7.7109375" style="101" customWidth="1"/>
    <col min="11545" max="11545" width="6.42578125" style="101" customWidth="1"/>
    <col min="11546" max="11546" width="6" style="101" customWidth="1"/>
    <col min="11547" max="11547" width="6.28515625" style="101" customWidth="1"/>
    <col min="11548" max="11548" width="5.42578125" style="101" customWidth="1"/>
    <col min="11549" max="11549" width="6.42578125" style="101" customWidth="1"/>
    <col min="11550" max="11550" width="5.42578125" style="101" customWidth="1"/>
    <col min="11551" max="11551" width="6" style="101" customWidth="1"/>
    <col min="11552" max="11552" width="6.42578125" style="101" customWidth="1"/>
    <col min="11553" max="11776" width="10.28515625" style="101"/>
    <col min="11777" max="11777" width="5.28515625" style="101" customWidth="1"/>
    <col min="11778" max="11778" width="16.140625" style="101" customWidth="1"/>
    <col min="11779" max="11779" width="6.140625" style="101" customWidth="1"/>
    <col min="11780" max="11780" width="5.42578125" style="101" customWidth="1"/>
    <col min="11781" max="11781" width="6.85546875" style="101" customWidth="1"/>
    <col min="11782" max="11782" width="7.28515625" style="101" customWidth="1"/>
    <col min="11783" max="11783" width="6.5703125" style="101" customWidth="1"/>
    <col min="11784" max="11784" width="6.42578125" style="101" customWidth="1"/>
    <col min="11785" max="11785" width="7" style="101" customWidth="1"/>
    <col min="11786" max="11786" width="6.85546875" style="101" customWidth="1"/>
    <col min="11787" max="11787" width="6.140625" style="101" customWidth="1"/>
    <col min="11788" max="11788" width="6.7109375" style="101" customWidth="1"/>
    <col min="11789" max="11789" width="5.42578125" style="101" customWidth="1"/>
    <col min="11790" max="11791" width="6.140625" style="101" customWidth="1"/>
    <col min="11792" max="11792" width="5.42578125" style="101" customWidth="1"/>
    <col min="11793" max="11793" width="6.28515625" style="101" customWidth="1"/>
    <col min="11794" max="11794" width="6" style="101" customWidth="1"/>
    <col min="11795" max="11795" width="6.7109375" style="101" customWidth="1"/>
    <col min="11796" max="11796" width="5.42578125" style="101" customWidth="1"/>
    <col min="11797" max="11797" width="6.5703125" style="101" customWidth="1"/>
    <col min="11798" max="11798" width="8.28515625" style="101" customWidth="1"/>
    <col min="11799" max="11799" width="5.42578125" style="101" customWidth="1"/>
    <col min="11800" max="11800" width="7.7109375" style="101" customWidth="1"/>
    <col min="11801" max="11801" width="6.42578125" style="101" customWidth="1"/>
    <col min="11802" max="11802" width="6" style="101" customWidth="1"/>
    <col min="11803" max="11803" width="6.28515625" style="101" customWidth="1"/>
    <col min="11804" max="11804" width="5.42578125" style="101" customWidth="1"/>
    <col min="11805" max="11805" width="6.42578125" style="101" customWidth="1"/>
    <col min="11806" max="11806" width="5.42578125" style="101" customWidth="1"/>
    <col min="11807" max="11807" width="6" style="101" customWidth="1"/>
    <col min="11808" max="11808" width="6.42578125" style="101" customWidth="1"/>
    <col min="11809" max="12032" width="10.28515625" style="101"/>
    <col min="12033" max="12033" width="5.28515625" style="101" customWidth="1"/>
    <col min="12034" max="12034" width="16.140625" style="101" customWidth="1"/>
    <col min="12035" max="12035" width="6.140625" style="101" customWidth="1"/>
    <col min="12036" max="12036" width="5.42578125" style="101" customWidth="1"/>
    <col min="12037" max="12037" width="6.85546875" style="101" customWidth="1"/>
    <col min="12038" max="12038" width="7.28515625" style="101" customWidth="1"/>
    <col min="12039" max="12039" width="6.5703125" style="101" customWidth="1"/>
    <col min="12040" max="12040" width="6.42578125" style="101" customWidth="1"/>
    <col min="12041" max="12041" width="7" style="101" customWidth="1"/>
    <col min="12042" max="12042" width="6.85546875" style="101" customWidth="1"/>
    <col min="12043" max="12043" width="6.140625" style="101" customWidth="1"/>
    <col min="12044" max="12044" width="6.7109375" style="101" customWidth="1"/>
    <col min="12045" max="12045" width="5.42578125" style="101" customWidth="1"/>
    <col min="12046" max="12047" width="6.140625" style="101" customWidth="1"/>
    <col min="12048" max="12048" width="5.42578125" style="101" customWidth="1"/>
    <col min="12049" max="12049" width="6.28515625" style="101" customWidth="1"/>
    <col min="12050" max="12050" width="6" style="101" customWidth="1"/>
    <col min="12051" max="12051" width="6.7109375" style="101" customWidth="1"/>
    <col min="12052" max="12052" width="5.42578125" style="101" customWidth="1"/>
    <col min="12053" max="12053" width="6.5703125" style="101" customWidth="1"/>
    <col min="12054" max="12054" width="8.28515625" style="101" customWidth="1"/>
    <col min="12055" max="12055" width="5.42578125" style="101" customWidth="1"/>
    <col min="12056" max="12056" width="7.7109375" style="101" customWidth="1"/>
    <col min="12057" max="12057" width="6.42578125" style="101" customWidth="1"/>
    <col min="12058" max="12058" width="6" style="101" customWidth="1"/>
    <col min="12059" max="12059" width="6.28515625" style="101" customWidth="1"/>
    <col min="12060" max="12060" width="5.42578125" style="101" customWidth="1"/>
    <col min="12061" max="12061" width="6.42578125" style="101" customWidth="1"/>
    <col min="12062" max="12062" width="5.42578125" style="101" customWidth="1"/>
    <col min="12063" max="12063" width="6" style="101" customWidth="1"/>
    <col min="12064" max="12064" width="6.42578125" style="101" customWidth="1"/>
    <col min="12065" max="12288" width="10.28515625" style="101"/>
    <col min="12289" max="12289" width="5.28515625" style="101" customWidth="1"/>
    <col min="12290" max="12290" width="16.140625" style="101" customWidth="1"/>
    <col min="12291" max="12291" width="6.140625" style="101" customWidth="1"/>
    <col min="12292" max="12292" width="5.42578125" style="101" customWidth="1"/>
    <col min="12293" max="12293" width="6.85546875" style="101" customWidth="1"/>
    <col min="12294" max="12294" width="7.28515625" style="101" customWidth="1"/>
    <col min="12295" max="12295" width="6.5703125" style="101" customWidth="1"/>
    <col min="12296" max="12296" width="6.42578125" style="101" customWidth="1"/>
    <col min="12297" max="12297" width="7" style="101" customWidth="1"/>
    <col min="12298" max="12298" width="6.85546875" style="101" customWidth="1"/>
    <col min="12299" max="12299" width="6.140625" style="101" customWidth="1"/>
    <col min="12300" max="12300" width="6.7109375" style="101" customWidth="1"/>
    <col min="12301" max="12301" width="5.42578125" style="101" customWidth="1"/>
    <col min="12302" max="12303" width="6.140625" style="101" customWidth="1"/>
    <col min="12304" max="12304" width="5.42578125" style="101" customWidth="1"/>
    <col min="12305" max="12305" width="6.28515625" style="101" customWidth="1"/>
    <col min="12306" max="12306" width="6" style="101" customWidth="1"/>
    <col min="12307" max="12307" width="6.7109375" style="101" customWidth="1"/>
    <col min="12308" max="12308" width="5.42578125" style="101" customWidth="1"/>
    <col min="12309" max="12309" width="6.5703125" style="101" customWidth="1"/>
    <col min="12310" max="12310" width="8.28515625" style="101" customWidth="1"/>
    <col min="12311" max="12311" width="5.42578125" style="101" customWidth="1"/>
    <col min="12312" max="12312" width="7.7109375" style="101" customWidth="1"/>
    <col min="12313" max="12313" width="6.42578125" style="101" customWidth="1"/>
    <col min="12314" max="12314" width="6" style="101" customWidth="1"/>
    <col min="12315" max="12315" width="6.28515625" style="101" customWidth="1"/>
    <col min="12316" max="12316" width="5.42578125" style="101" customWidth="1"/>
    <col min="12317" max="12317" width="6.42578125" style="101" customWidth="1"/>
    <col min="12318" max="12318" width="5.42578125" style="101" customWidth="1"/>
    <col min="12319" max="12319" width="6" style="101" customWidth="1"/>
    <col min="12320" max="12320" width="6.42578125" style="101" customWidth="1"/>
    <col min="12321" max="12544" width="10.28515625" style="101"/>
    <col min="12545" max="12545" width="5.28515625" style="101" customWidth="1"/>
    <col min="12546" max="12546" width="16.140625" style="101" customWidth="1"/>
    <col min="12547" max="12547" width="6.140625" style="101" customWidth="1"/>
    <col min="12548" max="12548" width="5.42578125" style="101" customWidth="1"/>
    <col min="12549" max="12549" width="6.85546875" style="101" customWidth="1"/>
    <col min="12550" max="12550" width="7.28515625" style="101" customWidth="1"/>
    <col min="12551" max="12551" width="6.5703125" style="101" customWidth="1"/>
    <col min="12552" max="12552" width="6.42578125" style="101" customWidth="1"/>
    <col min="12553" max="12553" width="7" style="101" customWidth="1"/>
    <col min="12554" max="12554" width="6.85546875" style="101" customWidth="1"/>
    <col min="12555" max="12555" width="6.140625" style="101" customWidth="1"/>
    <col min="12556" max="12556" width="6.7109375" style="101" customWidth="1"/>
    <col min="12557" max="12557" width="5.42578125" style="101" customWidth="1"/>
    <col min="12558" max="12559" width="6.140625" style="101" customWidth="1"/>
    <col min="12560" max="12560" width="5.42578125" style="101" customWidth="1"/>
    <col min="12561" max="12561" width="6.28515625" style="101" customWidth="1"/>
    <col min="12562" max="12562" width="6" style="101" customWidth="1"/>
    <col min="12563" max="12563" width="6.7109375" style="101" customWidth="1"/>
    <col min="12564" max="12564" width="5.42578125" style="101" customWidth="1"/>
    <col min="12565" max="12565" width="6.5703125" style="101" customWidth="1"/>
    <col min="12566" max="12566" width="8.28515625" style="101" customWidth="1"/>
    <col min="12567" max="12567" width="5.42578125" style="101" customWidth="1"/>
    <col min="12568" max="12568" width="7.7109375" style="101" customWidth="1"/>
    <col min="12569" max="12569" width="6.42578125" style="101" customWidth="1"/>
    <col min="12570" max="12570" width="6" style="101" customWidth="1"/>
    <col min="12571" max="12571" width="6.28515625" style="101" customWidth="1"/>
    <col min="12572" max="12572" width="5.42578125" style="101" customWidth="1"/>
    <col min="12573" max="12573" width="6.42578125" style="101" customWidth="1"/>
    <col min="12574" max="12574" width="5.42578125" style="101" customWidth="1"/>
    <col min="12575" max="12575" width="6" style="101" customWidth="1"/>
    <col min="12576" max="12576" width="6.42578125" style="101" customWidth="1"/>
    <col min="12577" max="12800" width="10.28515625" style="101"/>
    <col min="12801" max="12801" width="5.28515625" style="101" customWidth="1"/>
    <col min="12802" max="12802" width="16.140625" style="101" customWidth="1"/>
    <col min="12803" max="12803" width="6.140625" style="101" customWidth="1"/>
    <col min="12804" max="12804" width="5.42578125" style="101" customWidth="1"/>
    <col min="12805" max="12805" width="6.85546875" style="101" customWidth="1"/>
    <col min="12806" max="12806" width="7.28515625" style="101" customWidth="1"/>
    <col min="12807" max="12807" width="6.5703125" style="101" customWidth="1"/>
    <col min="12808" max="12808" width="6.42578125" style="101" customWidth="1"/>
    <col min="12809" max="12809" width="7" style="101" customWidth="1"/>
    <col min="12810" max="12810" width="6.85546875" style="101" customWidth="1"/>
    <col min="12811" max="12811" width="6.140625" style="101" customWidth="1"/>
    <col min="12812" max="12812" width="6.7109375" style="101" customWidth="1"/>
    <col min="12813" max="12813" width="5.42578125" style="101" customWidth="1"/>
    <col min="12814" max="12815" width="6.140625" style="101" customWidth="1"/>
    <col min="12816" max="12816" width="5.42578125" style="101" customWidth="1"/>
    <col min="12817" max="12817" width="6.28515625" style="101" customWidth="1"/>
    <col min="12818" max="12818" width="6" style="101" customWidth="1"/>
    <col min="12819" max="12819" width="6.7109375" style="101" customWidth="1"/>
    <col min="12820" max="12820" width="5.42578125" style="101" customWidth="1"/>
    <col min="12821" max="12821" width="6.5703125" style="101" customWidth="1"/>
    <col min="12822" max="12822" width="8.28515625" style="101" customWidth="1"/>
    <col min="12823" max="12823" width="5.42578125" style="101" customWidth="1"/>
    <col min="12824" max="12824" width="7.7109375" style="101" customWidth="1"/>
    <col min="12825" max="12825" width="6.42578125" style="101" customWidth="1"/>
    <col min="12826" max="12826" width="6" style="101" customWidth="1"/>
    <col min="12827" max="12827" width="6.28515625" style="101" customWidth="1"/>
    <col min="12828" max="12828" width="5.42578125" style="101" customWidth="1"/>
    <col min="12829" max="12829" width="6.42578125" style="101" customWidth="1"/>
    <col min="12830" max="12830" width="5.42578125" style="101" customWidth="1"/>
    <col min="12831" max="12831" width="6" style="101" customWidth="1"/>
    <col min="12832" max="12832" width="6.42578125" style="101" customWidth="1"/>
    <col min="12833" max="13056" width="10.28515625" style="101"/>
    <col min="13057" max="13057" width="5.28515625" style="101" customWidth="1"/>
    <col min="13058" max="13058" width="16.140625" style="101" customWidth="1"/>
    <col min="13059" max="13059" width="6.140625" style="101" customWidth="1"/>
    <col min="13060" max="13060" width="5.42578125" style="101" customWidth="1"/>
    <col min="13061" max="13061" width="6.85546875" style="101" customWidth="1"/>
    <col min="13062" max="13062" width="7.28515625" style="101" customWidth="1"/>
    <col min="13063" max="13063" width="6.5703125" style="101" customWidth="1"/>
    <col min="13064" max="13064" width="6.42578125" style="101" customWidth="1"/>
    <col min="13065" max="13065" width="7" style="101" customWidth="1"/>
    <col min="13066" max="13066" width="6.85546875" style="101" customWidth="1"/>
    <col min="13067" max="13067" width="6.140625" style="101" customWidth="1"/>
    <col min="13068" max="13068" width="6.7109375" style="101" customWidth="1"/>
    <col min="13069" max="13069" width="5.42578125" style="101" customWidth="1"/>
    <col min="13070" max="13071" width="6.140625" style="101" customWidth="1"/>
    <col min="13072" max="13072" width="5.42578125" style="101" customWidth="1"/>
    <col min="13073" max="13073" width="6.28515625" style="101" customWidth="1"/>
    <col min="13074" max="13074" width="6" style="101" customWidth="1"/>
    <col min="13075" max="13075" width="6.7109375" style="101" customWidth="1"/>
    <col min="13076" max="13076" width="5.42578125" style="101" customWidth="1"/>
    <col min="13077" max="13077" width="6.5703125" style="101" customWidth="1"/>
    <col min="13078" max="13078" width="8.28515625" style="101" customWidth="1"/>
    <col min="13079" max="13079" width="5.42578125" style="101" customWidth="1"/>
    <col min="13080" max="13080" width="7.7109375" style="101" customWidth="1"/>
    <col min="13081" max="13081" width="6.42578125" style="101" customWidth="1"/>
    <col min="13082" max="13082" width="6" style="101" customWidth="1"/>
    <col min="13083" max="13083" width="6.28515625" style="101" customWidth="1"/>
    <col min="13084" max="13084" width="5.42578125" style="101" customWidth="1"/>
    <col min="13085" max="13085" width="6.42578125" style="101" customWidth="1"/>
    <col min="13086" max="13086" width="5.42578125" style="101" customWidth="1"/>
    <col min="13087" max="13087" width="6" style="101" customWidth="1"/>
    <col min="13088" max="13088" width="6.42578125" style="101" customWidth="1"/>
    <col min="13089" max="13312" width="10.28515625" style="101"/>
    <col min="13313" max="13313" width="5.28515625" style="101" customWidth="1"/>
    <col min="13314" max="13314" width="16.140625" style="101" customWidth="1"/>
    <col min="13315" max="13315" width="6.140625" style="101" customWidth="1"/>
    <col min="13316" max="13316" width="5.42578125" style="101" customWidth="1"/>
    <col min="13317" max="13317" width="6.85546875" style="101" customWidth="1"/>
    <col min="13318" max="13318" width="7.28515625" style="101" customWidth="1"/>
    <col min="13319" max="13319" width="6.5703125" style="101" customWidth="1"/>
    <col min="13320" max="13320" width="6.42578125" style="101" customWidth="1"/>
    <col min="13321" max="13321" width="7" style="101" customWidth="1"/>
    <col min="13322" max="13322" width="6.85546875" style="101" customWidth="1"/>
    <col min="13323" max="13323" width="6.140625" style="101" customWidth="1"/>
    <col min="13324" max="13324" width="6.7109375" style="101" customWidth="1"/>
    <col min="13325" max="13325" width="5.42578125" style="101" customWidth="1"/>
    <col min="13326" max="13327" width="6.140625" style="101" customWidth="1"/>
    <col min="13328" max="13328" width="5.42578125" style="101" customWidth="1"/>
    <col min="13329" max="13329" width="6.28515625" style="101" customWidth="1"/>
    <col min="13330" max="13330" width="6" style="101" customWidth="1"/>
    <col min="13331" max="13331" width="6.7109375" style="101" customWidth="1"/>
    <col min="13332" max="13332" width="5.42578125" style="101" customWidth="1"/>
    <col min="13333" max="13333" width="6.5703125" style="101" customWidth="1"/>
    <col min="13334" max="13334" width="8.28515625" style="101" customWidth="1"/>
    <col min="13335" max="13335" width="5.42578125" style="101" customWidth="1"/>
    <col min="13336" max="13336" width="7.7109375" style="101" customWidth="1"/>
    <col min="13337" max="13337" width="6.42578125" style="101" customWidth="1"/>
    <col min="13338" max="13338" width="6" style="101" customWidth="1"/>
    <col min="13339" max="13339" width="6.28515625" style="101" customWidth="1"/>
    <col min="13340" max="13340" width="5.42578125" style="101" customWidth="1"/>
    <col min="13341" max="13341" width="6.42578125" style="101" customWidth="1"/>
    <col min="13342" max="13342" width="5.42578125" style="101" customWidth="1"/>
    <col min="13343" max="13343" width="6" style="101" customWidth="1"/>
    <col min="13344" max="13344" width="6.42578125" style="101" customWidth="1"/>
    <col min="13345" max="13568" width="10.28515625" style="101"/>
    <col min="13569" max="13569" width="5.28515625" style="101" customWidth="1"/>
    <col min="13570" max="13570" width="16.140625" style="101" customWidth="1"/>
    <col min="13571" max="13571" width="6.140625" style="101" customWidth="1"/>
    <col min="13572" max="13572" width="5.42578125" style="101" customWidth="1"/>
    <col min="13573" max="13573" width="6.85546875" style="101" customWidth="1"/>
    <col min="13574" max="13574" width="7.28515625" style="101" customWidth="1"/>
    <col min="13575" max="13575" width="6.5703125" style="101" customWidth="1"/>
    <col min="13576" max="13576" width="6.42578125" style="101" customWidth="1"/>
    <col min="13577" max="13577" width="7" style="101" customWidth="1"/>
    <col min="13578" max="13578" width="6.85546875" style="101" customWidth="1"/>
    <col min="13579" max="13579" width="6.140625" style="101" customWidth="1"/>
    <col min="13580" max="13580" width="6.7109375" style="101" customWidth="1"/>
    <col min="13581" max="13581" width="5.42578125" style="101" customWidth="1"/>
    <col min="13582" max="13583" width="6.140625" style="101" customWidth="1"/>
    <col min="13584" max="13584" width="5.42578125" style="101" customWidth="1"/>
    <col min="13585" max="13585" width="6.28515625" style="101" customWidth="1"/>
    <col min="13586" max="13586" width="6" style="101" customWidth="1"/>
    <col min="13587" max="13587" width="6.7109375" style="101" customWidth="1"/>
    <col min="13588" max="13588" width="5.42578125" style="101" customWidth="1"/>
    <col min="13589" max="13589" width="6.5703125" style="101" customWidth="1"/>
    <col min="13590" max="13590" width="8.28515625" style="101" customWidth="1"/>
    <col min="13591" max="13591" width="5.42578125" style="101" customWidth="1"/>
    <col min="13592" max="13592" width="7.7109375" style="101" customWidth="1"/>
    <col min="13593" max="13593" width="6.42578125" style="101" customWidth="1"/>
    <col min="13594" max="13594" width="6" style="101" customWidth="1"/>
    <col min="13595" max="13595" width="6.28515625" style="101" customWidth="1"/>
    <col min="13596" max="13596" width="5.42578125" style="101" customWidth="1"/>
    <col min="13597" max="13597" width="6.42578125" style="101" customWidth="1"/>
    <col min="13598" max="13598" width="5.42578125" style="101" customWidth="1"/>
    <col min="13599" max="13599" width="6" style="101" customWidth="1"/>
    <col min="13600" max="13600" width="6.42578125" style="101" customWidth="1"/>
    <col min="13601" max="13824" width="10.28515625" style="101"/>
    <col min="13825" max="13825" width="5.28515625" style="101" customWidth="1"/>
    <col min="13826" max="13826" width="16.140625" style="101" customWidth="1"/>
    <col min="13827" max="13827" width="6.140625" style="101" customWidth="1"/>
    <col min="13828" max="13828" width="5.42578125" style="101" customWidth="1"/>
    <col min="13829" max="13829" width="6.85546875" style="101" customWidth="1"/>
    <col min="13830" max="13830" width="7.28515625" style="101" customWidth="1"/>
    <col min="13831" max="13831" width="6.5703125" style="101" customWidth="1"/>
    <col min="13832" max="13832" width="6.42578125" style="101" customWidth="1"/>
    <col min="13833" max="13833" width="7" style="101" customWidth="1"/>
    <col min="13834" max="13834" width="6.85546875" style="101" customWidth="1"/>
    <col min="13835" max="13835" width="6.140625" style="101" customWidth="1"/>
    <col min="13836" max="13836" width="6.7109375" style="101" customWidth="1"/>
    <col min="13837" max="13837" width="5.42578125" style="101" customWidth="1"/>
    <col min="13838" max="13839" width="6.140625" style="101" customWidth="1"/>
    <col min="13840" max="13840" width="5.42578125" style="101" customWidth="1"/>
    <col min="13841" max="13841" width="6.28515625" style="101" customWidth="1"/>
    <col min="13842" max="13842" width="6" style="101" customWidth="1"/>
    <col min="13843" max="13843" width="6.7109375" style="101" customWidth="1"/>
    <col min="13844" max="13844" width="5.42578125" style="101" customWidth="1"/>
    <col min="13845" max="13845" width="6.5703125" style="101" customWidth="1"/>
    <col min="13846" max="13846" width="8.28515625" style="101" customWidth="1"/>
    <col min="13847" max="13847" width="5.42578125" style="101" customWidth="1"/>
    <col min="13848" max="13848" width="7.7109375" style="101" customWidth="1"/>
    <col min="13849" max="13849" width="6.42578125" style="101" customWidth="1"/>
    <col min="13850" max="13850" width="6" style="101" customWidth="1"/>
    <col min="13851" max="13851" width="6.28515625" style="101" customWidth="1"/>
    <col min="13852" max="13852" width="5.42578125" style="101" customWidth="1"/>
    <col min="13853" max="13853" width="6.42578125" style="101" customWidth="1"/>
    <col min="13854" max="13854" width="5.42578125" style="101" customWidth="1"/>
    <col min="13855" max="13855" width="6" style="101" customWidth="1"/>
    <col min="13856" max="13856" width="6.42578125" style="101" customWidth="1"/>
    <col min="13857" max="14080" width="10.28515625" style="101"/>
    <col min="14081" max="14081" width="5.28515625" style="101" customWidth="1"/>
    <col min="14082" max="14082" width="16.140625" style="101" customWidth="1"/>
    <col min="14083" max="14083" width="6.140625" style="101" customWidth="1"/>
    <col min="14084" max="14084" width="5.42578125" style="101" customWidth="1"/>
    <col min="14085" max="14085" width="6.85546875" style="101" customWidth="1"/>
    <col min="14086" max="14086" width="7.28515625" style="101" customWidth="1"/>
    <col min="14087" max="14087" width="6.5703125" style="101" customWidth="1"/>
    <col min="14088" max="14088" width="6.42578125" style="101" customWidth="1"/>
    <col min="14089" max="14089" width="7" style="101" customWidth="1"/>
    <col min="14090" max="14090" width="6.85546875" style="101" customWidth="1"/>
    <col min="14091" max="14091" width="6.140625" style="101" customWidth="1"/>
    <col min="14092" max="14092" width="6.7109375" style="101" customWidth="1"/>
    <col min="14093" max="14093" width="5.42578125" style="101" customWidth="1"/>
    <col min="14094" max="14095" width="6.140625" style="101" customWidth="1"/>
    <col min="14096" max="14096" width="5.42578125" style="101" customWidth="1"/>
    <col min="14097" max="14097" width="6.28515625" style="101" customWidth="1"/>
    <col min="14098" max="14098" width="6" style="101" customWidth="1"/>
    <col min="14099" max="14099" width="6.7109375" style="101" customWidth="1"/>
    <col min="14100" max="14100" width="5.42578125" style="101" customWidth="1"/>
    <col min="14101" max="14101" width="6.5703125" style="101" customWidth="1"/>
    <col min="14102" max="14102" width="8.28515625" style="101" customWidth="1"/>
    <col min="14103" max="14103" width="5.42578125" style="101" customWidth="1"/>
    <col min="14104" max="14104" width="7.7109375" style="101" customWidth="1"/>
    <col min="14105" max="14105" width="6.42578125" style="101" customWidth="1"/>
    <col min="14106" max="14106" width="6" style="101" customWidth="1"/>
    <col min="14107" max="14107" width="6.28515625" style="101" customWidth="1"/>
    <col min="14108" max="14108" width="5.42578125" style="101" customWidth="1"/>
    <col min="14109" max="14109" width="6.42578125" style="101" customWidth="1"/>
    <col min="14110" max="14110" width="5.42578125" style="101" customWidth="1"/>
    <col min="14111" max="14111" width="6" style="101" customWidth="1"/>
    <col min="14112" max="14112" width="6.42578125" style="101" customWidth="1"/>
    <col min="14113" max="14336" width="10.28515625" style="101"/>
    <col min="14337" max="14337" width="5.28515625" style="101" customWidth="1"/>
    <col min="14338" max="14338" width="16.140625" style="101" customWidth="1"/>
    <col min="14339" max="14339" width="6.140625" style="101" customWidth="1"/>
    <col min="14340" max="14340" width="5.42578125" style="101" customWidth="1"/>
    <col min="14341" max="14341" width="6.85546875" style="101" customWidth="1"/>
    <col min="14342" max="14342" width="7.28515625" style="101" customWidth="1"/>
    <col min="14343" max="14343" width="6.5703125" style="101" customWidth="1"/>
    <col min="14344" max="14344" width="6.42578125" style="101" customWidth="1"/>
    <col min="14345" max="14345" width="7" style="101" customWidth="1"/>
    <col min="14346" max="14346" width="6.85546875" style="101" customWidth="1"/>
    <col min="14347" max="14347" width="6.140625" style="101" customWidth="1"/>
    <col min="14348" max="14348" width="6.7109375" style="101" customWidth="1"/>
    <col min="14349" max="14349" width="5.42578125" style="101" customWidth="1"/>
    <col min="14350" max="14351" width="6.140625" style="101" customWidth="1"/>
    <col min="14352" max="14352" width="5.42578125" style="101" customWidth="1"/>
    <col min="14353" max="14353" width="6.28515625" style="101" customWidth="1"/>
    <col min="14354" max="14354" width="6" style="101" customWidth="1"/>
    <col min="14355" max="14355" width="6.7109375" style="101" customWidth="1"/>
    <col min="14356" max="14356" width="5.42578125" style="101" customWidth="1"/>
    <col min="14357" max="14357" width="6.5703125" style="101" customWidth="1"/>
    <col min="14358" max="14358" width="8.28515625" style="101" customWidth="1"/>
    <col min="14359" max="14359" width="5.42578125" style="101" customWidth="1"/>
    <col min="14360" max="14360" width="7.7109375" style="101" customWidth="1"/>
    <col min="14361" max="14361" width="6.42578125" style="101" customWidth="1"/>
    <col min="14362" max="14362" width="6" style="101" customWidth="1"/>
    <col min="14363" max="14363" width="6.28515625" style="101" customWidth="1"/>
    <col min="14364" max="14364" width="5.42578125" style="101" customWidth="1"/>
    <col min="14365" max="14365" width="6.42578125" style="101" customWidth="1"/>
    <col min="14366" max="14366" width="5.42578125" style="101" customWidth="1"/>
    <col min="14367" max="14367" width="6" style="101" customWidth="1"/>
    <col min="14368" max="14368" width="6.42578125" style="101" customWidth="1"/>
    <col min="14369" max="14592" width="10.28515625" style="101"/>
    <col min="14593" max="14593" width="5.28515625" style="101" customWidth="1"/>
    <col min="14594" max="14594" width="16.140625" style="101" customWidth="1"/>
    <col min="14595" max="14595" width="6.140625" style="101" customWidth="1"/>
    <col min="14596" max="14596" width="5.42578125" style="101" customWidth="1"/>
    <col min="14597" max="14597" width="6.85546875" style="101" customWidth="1"/>
    <col min="14598" max="14598" width="7.28515625" style="101" customWidth="1"/>
    <col min="14599" max="14599" width="6.5703125" style="101" customWidth="1"/>
    <col min="14600" max="14600" width="6.42578125" style="101" customWidth="1"/>
    <col min="14601" max="14601" width="7" style="101" customWidth="1"/>
    <col min="14602" max="14602" width="6.85546875" style="101" customWidth="1"/>
    <col min="14603" max="14603" width="6.140625" style="101" customWidth="1"/>
    <col min="14604" max="14604" width="6.7109375" style="101" customWidth="1"/>
    <col min="14605" max="14605" width="5.42578125" style="101" customWidth="1"/>
    <col min="14606" max="14607" width="6.140625" style="101" customWidth="1"/>
    <col min="14608" max="14608" width="5.42578125" style="101" customWidth="1"/>
    <col min="14609" max="14609" width="6.28515625" style="101" customWidth="1"/>
    <col min="14610" max="14610" width="6" style="101" customWidth="1"/>
    <col min="14611" max="14611" width="6.7109375" style="101" customWidth="1"/>
    <col min="14612" max="14612" width="5.42578125" style="101" customWidth="1"/>
    <col min="14613" max="14613" width="6.5703125" style="101" customWidth="1"/>
    <col min="14614" max="14614" width="8.28515625" style="101" customWidth="1"/>
    <col min="14615" max="14615" width="5.42578125" style="101" customWidth="1"/>
    <col min="14616" max="14616" width="7.7109375" style="101" customWidth="1"/>
    <col min="14617" max="14617" width="6.42578125" style="101" customWidth="1"/>
    <col min="14618" max="14618" width="6" style="101" customWidth="1"/>
    <col min="14619" max="14619" width="6.28515625" style="101" customWidth="1"/>
    <col min="14620" max="14620" width="5.42578125" style="101" customWidth="1"/>
    <col min="14621" max="14621" width="6.42578125" style="101" customWidth="1"/>
    <col min="14622" max="14622" width="5.42578125" style="101" customWidth="1"/>
    <col min="14623" max="14623" width="6" style="101" customWidth="1"/>
    <col min="14624" max="14624" width="6.42578125" style="101" customWidth="1"/>
    <col min="14625" max="14848" width="10.28515625" style="101"/>
    <col min="14849" max="14849" width="5.28515625" style="101" customWidth="1"/>
    <col min="14850" max="14850" width="16.140625" style="101" customWidth="1"/>
    <col min="14851" max="14851" width="6.140625" style="101" customWidth="1"/>
    <col min="14852" max="14852" width="5.42578125" style="101" customWidth="1"/>
    <col min="14853" max="14853" width="6.85546875" style="101" customWidth="1"/>
    <col min="14854" max="14854" width="7.28515625" style="101" customWidth="1"/>
    <col min="14855" max="14855" width="6.5703125" style="101" customWidth="1"/>
    <col min="14856" max="14856" width="6.42578125" style="101" customWidth="1"/>
    <col min="14857" max="14857" width="7" style="101" customWidth="1"/>
    <col min="14858" max="14858" width="6.85546875" style="101" customWidth="1"/>
    <col min="14859" max="14859" width="6.140625" style="101" customWidth="1"/>
    <col min="14860" max="14860" width="6.7109375" style="101" customWidth="1"/>
    <col min="14861" max="14861" width="5.42578125" style="101" customWidth="1"/>
    <col min="14862" max="14863" width="6.140625" style="101" customWidth="1"/>
    <col min="14864" max="14864" width="5.42578125" style="101" customWidth="1"/>
    <col min="14865" max="14865" width="6.28515625" style="101" customWidth="1"/>
    <col min="14866" max="14866" width="6" style="101" customWidth="1"/>
    <col min="14867" max="14867" width="6.7109375" style="101" customWidth="1"/>
    <col min="14868" max="14868" width="5.42578125" style="101" customWidth="1"/>
    <col min="14869" max="14869" width="6.5703125" style="101" customWidth="1"/>
    <col min="14870" max="14870" width="8.28515625" style="101" customWidth="1"/>
    <col min="14871" max="14871" width="5.42578125" style="101" customWidth="1"/>
    <col min="14872" max="14872" width="7.7109375" style="101" customWidth="1"/>
    <col min="14873" max="14873" width="6.42578125" style="101" customWidth="1"/>
    <col min="14874" max="14874" width="6" style="101" customWidth="1"/>
    <col min="14875" max="14875" width="6.28515625" style="101" customWidth="1"/>
    <col min="14876" max="14876" width="5.42578125" style="101" customWidth="1"/>
    <col min="14877" max="14877" width="6.42578125" style="101" customWidth="1"/>
    <col min="14878" max="14878" width="5.42578125" style="101" customWidth="1"/>
    <col min="14879" max="14879" width="6" style="101" customWidth="1"/>
    <col min="14880" max="14880" width="6.42578125" style="101" customWidth="1"/>
    <col min="14881" max="15104" width="10.28515625" style="101"/>
    <col min="15105" max="15105" width="5.28515625" style="101" customWidth="1"/>
    <col min="15106" max="15106" width="16.140625" style="101" customWidth="1"/>
    <col min="15107" max="15107" width="6.140625" style="101" customWidth="1"/>
    <col min="15108" max="15108" width="5.42578125" style="101" customWidth="1"/>
    <col min="15109" max="15109" width="6.85546875" style="101" customWidth="1"/>
    <col min="15110" max="15110" width="7.28515625" style="101" customWidth="1"/>
    <col min="15111" max="15111" width="6.5703125" style="101" customWidth="1"/>
    <col min="15112" max="15112" width="6.42578125" style="101" customWidth="1"/>
    <col min="15113" max="15113" width="7" style="101" customWidth="1"/>
    <col min="15114" max="15114" width="6.85546875" style="101" customWidth="1"/>
    <col min="15115" max="15115" width="6.140625" style="101" customWidth="1"/>
    <col min="15116" max="15116" width="6.7109375" style="101" customWidth="1"/>
    <col min="15117" max="15117" width="5.42578125" style="101" customWidth="1"/>
    <col min="15118" max="15119" width="6.140625" style="101" customWidth="1"/>
    <col min="15120" max="15120" width="5.42578125" style="101" customWidth="1"/>
    <col min="15121" max="15121" width="6.28515625" style="101" customWidth="1"/>
    <col min="15122" max="15122" width="6" style="101" customWidth="1"/>
    <col min="15123" max="15123" width="6.7109375" style="101" customWidth="1"/>
    <col min="15124" max="15124" width="5.42578125" style="101" customWidth="1"/>
    <col min="15125" max="15125" width="6.5703125" style="101" customWidth="1"/>
    <col min="15126" max="15126" width="8.28515625" style="101" customWidth="1"/>
    <col min="15127" max="15127" width="5.42578125" style="101" customWidth="1"/>
    <col min="15128" max="15128" width="7.7109375" style="101" customWidth="1"/>
    <col min="15129" max="15129" width="6.42578125" style="101" customWidth="1"/>
    <col min="15130" max="15130" width="6" style="101" customWidth="1"/>
    <col min="15131" max="15131" width="6.28515625" style="101" customWidth="1"/>
    <col min="15132" max="15132" width="5.42578125" style="101" customWidth="1"/>
    <col min="15133" max="15133" width="6.42578125" style="101" customWidth="1"/>
    <col min="15134" max="15134" width="5.42578125" style="101" customWidth="1"/>
    <col min="15135" max="15135" width="6" style="101" customWidth="1"/>
    <col min="15136" max="15136" width="6.42578125" style="101" customWidth="1"/>
    <col min="15137" max="15360" width="10.28515625" style="101"/>
    <col min="15361" max="15361" width="5.28515625" style="101" customWidth="1"/>
    <col min="15362" max="15362" width="16.140625" style="101" customWidth="1"/>
    <col min="15363" max="15363" width="6.140625" style="101" customWidth="1"/>
    <col min="15364" max="15364" width="5.42578125" style="101" customWidth="1"/>
    <col min="15365" max="15365" width="6.85546875" style="101" customWidth="1"/>
    <col min="15366" max="15366" width="7.28515625" style="101" customWidth="1"/>
    <col min="15367" max="15367" width="6.5703125" style="101" customWidth="1"/>
    <col min="15368" max="15368" width="6.42578125" style="101" customWidth="1"/>
    <col min="15369" max="15369" width="7" style="101" customWidth="1"/>
    <col min="15370" max="15370" width="6.85546875" style="101" customWidth="1"/>
    <col min="15371" max="15371" width="6.140625" style="101" customWidth="1"/>
    <col min="15372" max="15372" width="6.7109375" style="101" customWidth="1"/>
    <col min="15373" max="15373" width="5.42578125" style="101" customWidth="1"/>
    <col min="15374" max="15375" width="6.140625" style="101" customWidth="1"/>
    <col min="15376" max="15376" width="5.42578125" style="101" customWidth="1"/>
    <col min="15377" max="15377" width="6.28515625" style="101" customWidth="1"/>
    <col min="15378" max="15378" width="6" style="101" customWidth="1"/>
    <col min="15379" max="15379" width="6.7109375" style="101" customWidth="1"/>
    <col min="15380" max="15380" width="5.42578125" style="101" customWidth="1"/>
    <col min="15381" max="15381" width="6.5703125" style="101" customWidth="1"/>
    <col min="15382" max="15382" width="8.28515625" style="101" customWidth="1"/>
    <col min="15383" max="15383" width="5.42578125" style="101" customWidth="1"/>
    <col min="15384" max="15384" width="7.7109375" style="101" customWidth="1"/>
    <col min="15385" max="15385" width="6.42578125" style="101" customWidth="1"/>
    <col min="15386" max="15386" width="6" style="101" customWidth="1"/>
    <col min="15387" max="15387" width="6.28515625" style="101" customWidth="1"/>
    <col min="15388" max="15388" width="5.42578125" style="101" customWidth="1"/>
    <col min="15389" max="15389" width="6.42578125" style="101" customWidth="1"/>
    <col min="15390" max="15390" width="5.42578125" style="101" customWidth="1"/>
    <col min="15391" max="15391" width="6" style="101" customWidth="1"/>
    <col min="15392" max="15392" width="6.42578125" style="101" customWidth="1"/>
    <col min="15393" max="15616" width="10.28515625" style="101"/>
    <col min="15617" max="15617" width="5.28515625" style="101" customWidth="1"/>
    <col min="15618" max="15618" width="16.140625" style="101" customWidth="1"/>
    <col min="15619" max="15619" width="6.140625" style="101" customWidth="1"/>
    <col min="15620" max="15620" width="5.42578125" style="101" customWidth="1"/>
    <col min="15621" max="15621" width="6.85546875" style="101" customWidth="1"/>
    <col min="15622" max="15622" width="7.28515625" style="101" customWidth="1"/>
    <col min="15623" max="15623" width="6.5703125" style="101" customWidth="1"/>
    <col min="15624" max="15624" width="6.42578125" style="101" customWidth="1"/>
    <col min="15625" max="15625" width="7" style="101" customWidth="1"/>
    <col min="15626" max="15626" width="6.85546875" style="101" customWidth="1"/>
    <col min="15627" max="15627" width="6.140625" style="101" customWidth="1"/>
    <col min="15628" max="15628" width="6.7109375" style="101" customWidth="1"/>
    <col min="15629" max="15629" width="5.42578125" style="101" customWidth="1"/>
    <col min="15630" max="15631" width="6.140625" style="101" customWidth="1"/>
    <col min="15632" max="15632" width="5.42578125" style="101" customWidth="1"/>
    <col min="15633" max="15633" width="6.28515625" style="101" customWidth="1"/>
    <col min="15634" max="15634" width="6" style="101" customWidth="1"/>
    <col min="15635" max="15635" width="6.7109375" style="101" customWidth="1"/>
    <col min="15636" max="15636" width="5.42578125" style="101" customWidth="1"/>
    <col min="15637" max="15637" width="6.5703125" style="101" customWidth="1"/>
    <col min="15638" max="15638" width="8.28515625" style="101" customWidth="1"/>
    <col min="15639" max="15639" width="5.42578125" style="101" customWidth="1"/>
    <col min="15640" max="15640" width="7.7109375" style="101" customWidth="1"/>
    <col min="15641" max="15641" width="6.42578125" style="101" customWidth="1"/>
    <col min="15642" max="15642" width="6" style="101" customWidth="1"/>
    <col min="15643" max="15643" width="6.28515625" style="101" customWidth="1"/>
    <col min="15644" max="15644" width="5.42578125" style="101" customWidth="1"/>
    <col min="15645" max="15645" width="6.42578125" style="101" customWidth="1"/>
    <col min="15646" max="15646" width="5.42578125" style="101" customWidth="1"/>
    <col min="15647" max="15647" width="6" style="101" customWidth="1"/>
    <col min="15648" max="15648" width="6.42578125" style="101" customWidth="1"/>
    <col min="15649" max="15872" width="10.28515625" style="101"/>
    <col min="15873" max="15873" width="5.28515625" style="101" customWidth="1"/>
    <col min="15874" max="15874" width="16.140625" style="101" customWidth="1"/>
    <col min="15875" max="15875" width="6.140625" style="101" customWidth="1"/>
    <col min="15876" max="15876" width="5.42578125" style="101" customWidth="1"/>
    <col min="15877" max="15877" width="6.85546875" style="101" customWidth="1"/>
    <col min="15878" max="15878" width="7.28515625" style="101" customWidth="1"/>
    <col min="15879" max="15879" width="6.5703125" style="101" customWidth="1"/>
    <col min="15880" max="15880" width="6.42578125" style="101" customWidth="1"/>
    <col min="15881" max="15881" width="7" style="101" customWidth="1"/>
    <col min="15882" max="15882" width="6.85546875" style="101" customWidth="1"/>
    <col min="15883" max="15883" width="6.140625" style="101" customWidth="1"/>
    <col min="15884" max="15884" width="6.7109375" style="101" customWidth="1"/>
    <col min="15885" max="15885" width="5.42578125" style="101" customWidth="1"/>
    <col min="15886" max="15887" width="6.140625" style="101" customWidth="1"/>
    <col min="15888" max="15888" width="5.42578125" style="101" customWidth="1"/>
    <col min="15889" max="15889" width="6.28515625" style="101" customWidth="1"/>
    <col min="15890" max="15890" width="6" style="101" customWidth="1"/>
    <col min="15891" max="15891" width="6.7109375" style="101" customWidth="1"/>
    <col min="15892" max="15892" width="5.42578125" style="101" customWidth="1"/>
    <col min="15893" max="15893" width="6.5703125" style="101" customWidth="1"/>
    <col min="15894" max="15894" width="8.28515625" style="101" customWidth="1"/>
    <col min="15895" max="15895" width="5.42578125" style="101" customWidth="1"/>
    <col min="15896" max="15896" width="7.7109375" style="101" customWidth="1"/>
    <col min="15897" max="15897" width="6.42578125" style="101" customWidth="1"/>
    <col min="15898" max="15898" width="6" style="101" customWidth="1"/>
    <col min="15899" max="15899" width="6.28515625" style="101" customWidth="1"/>
    <col min="15900" max="15900" width="5.42578125" style="101" customWidth="1"/>
    <col min="15901" max="15901" width="6.42578125" style="101" customWidth="1"/>
    <col min="15902" max="15902" width="5.42578125" style="101" customWidth="1"/>
    <col min="15903" max="15903" width="6" style="101" customWidth="1"/>
    <col min="15904" max="15904" width="6.42578125" style="101" customWidth="1"/>
    <col min="15905" max="16128" width="10.28515625" style="101"/>
    <col min="16129" max="16129" width="5.28515625" style="101" customWidth="1"/>
    <col min="16130" max="16130" width="16.140625" style="101" customWidth="1"/>
    <col min="16131" max="16131" width="6.140625" style="101" customWidth="1"/>
    <col min="16132" max="16132" width="5.42578125" style="101" customWidth="1"/>
    <col min="16133" max="16133" width="6.85546875" style="101" customWidth="1"/>
    <col min="16134" max="16134" width="7.28515625" style="101" customWidth="1"/>
    <col min="16135" max="16135" width="6.5703125" style="101" customWidth="1"/>
    <col min="16136" max="16136" width="6.42578125" style="101" customWidth="1"/>
    <col min="16137" max="16137" width="7" style="101" customWidth="1"/>
    <col min="16138" max="16138" width="6.85546875" style="101" customWidth="1"/>
    <col min="16139" max="16139" width="6.140625" style="101" customWidth="1"/>
    <col min="16140" max="16140" width="6.7109375" style="101" customWidth="1"/>
    <col min="16141" max="16141" width="5.42578125" style="101" customWidth="1"/>
    <col min="16142" max="16143" width="6.140625" style="101" customWidth="1"/>
    <col min="16144" max="16144" width="5.42578125" style="101" customWidth="1"/>
    <col min="16145" max="16145" width="6.28515625" style="101" customWidth="1"/>
    <col min="16146" max="16146" width="6" style="101" customWidth="1"/>
    <col min="16147" max="16147" width="6.7109375" style="101" customWidth="1"/>
    <col min="16148" max="16148" width="5.42578125" style="101" customWidth="1"/>
    <col min="16149" max="16149" width="6.5703125" style="101" customWidth="1"/>
    <col min="16150" max="16150" width="8.28515625" style="101" customWidth="1"/>
    <col min="16151" max="16151" width="5.42578125" style="101" customWidth="1"/>
    <col min="16152" max="16152" width="7.7109375" style="101" customWidth="1"/>
    <col min="16153" max="16153" width="6.42578125" style="101" customWidth="1"/>
    <col min="16154" max="16154" width="6" style="101" customWidth="1"/>
    <col min="16155" max="16155" width="6.28515625" style="101" customWidth="1"/>
    <col min="16156" max="16156" width="5.42578125" style="101" customWidth="1"/>
    <col min="16157" max="16157" width="6.42578125" style="101" customWidth="1"/>
    <col min="16158" max="16158" width="5.42578125" style="101" customWidth="1"/>
    <col min="16159" max="16159" width="6" style="101" customWidth="1"/>
    <col min="16160" max="16160" width="6.42578125" style="101" customWidth="1"/>
    <col min="16161" max="16384" width="10.28515625" style="101"/>
  </cols>
  <sheetData>
    <row r="1" spans="1:33" ht="18.75" x14ac:dyDescent="0.3">
      <c r="A1" s="667" t="s">
        <v>179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3" x14ac:dyDescent="0.25">
      <c r="B2" s="103"/>
    </row>
    <row r="3" spans="1:33" s="104" customFormat="1" ht="12.75" customHeight="1" x14ac:dyDescent="0.25">
      <c r="A3" s="668" t="s">
        <v>180</v>
      </c>
      <c r="B3" s="668"/>
      <c r="C3" s="669" t="s">
        <v>181</v>
      </c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 t="s">
        <v>182</v>
      </c>
      <c r="Z3" s="669"/>
      <c r="AA3" s="669"/>
      <c r="AB3" s="669"/>
      <c r="AC3" s="669"/>
      <c r="AD3" s="669"/>
      <c r="AE3" s="669"/>
      <c r="AF3" s="669"/>
    </row>
    <row r="4" spans="1:33" s="104" customFormat="1" ht="12.75" customHeight="1" x14ac:dyDescent="0.25">
      <c r="A4" s="668"/>
      <c r="B4" s="668"/>
      <c r="C4" s="669" t="s">
        <v>183</v>
      </c>
      <c r="D4" s="669"/>
      <c r="E4" s="668" t="s">
        <v>184</v>
      </c>
      <c r="F4" s="668"/>
      <c r="G4" s="668"/>
      <c r="H4" s="668"/>
      <c r="I4" s="668" t="s">
        <v>185</v>
      </c>
      <c r="J4" s="668"/>
      <c r="K4" s="668"/>
      <c r="L4" s="668"/>
      <c r="M4" s="668" t="s">
        <v>186</v>
      </c>
      <c r="N4" s="668"/>
      <c r="O4" s="668"/>
      <c r="P4" s="668"/>
      <c r="Q4" s="668" t="s">
        <v>187</v>
      </c>
      <c r="R4" s="668"/>
      <c r="S4" s="668"/>
      <c r="T4" s="668"/>
      <c r="U4" s="669" t="s">
        <v>4</v>
      </c>
      <c r="V4" s="669"/>
      <c r="W4" s="669"/>
      <c r="X4" s="669"/>
      <c r="Y4" s="668" t="s">
        <v>188</v>
      </c>
      <c r="Z4" s="668"/>
      <c r="AA4" s="668"/>
      <c r="AB4" s="668"/>
      <c r="AC4" s="668" t="s">
        <v>189</v>
      </c>
      <c r="AD4" s="668"/>
      <c r="AE4" s="668"/>
      <c r="AF4" s="668"/>
    </row>
    <row r="5" spans="1:33" s="104" customFormat="1" ht="82.5" customHeight="1" x14ac:dyDescent="0.25">
      <c r="A5" s="668"/>
      <c r="B5" s="668"/>
      <c r="C5" s="105" t="s">
        <v>190</v>
      </c>
      <c r="D5" s="105" t="s">
        <v>191</v>
      </c>
      <c r="E5" s="105" t="s">
        <v>190</v>
      </c>
      <c r="F5" s="105" t="s">
        <v>191</v>
      </c>
      <c r="G5" s="105" t="s">
        <v>192</v>
      </c>
      <c r="H5" s="105" t="s">
        <v>193</v>
      </c>
      <c r="I5" s="105" t="s">
        <v>190</v>
      </c>
      <c r="J5" s="105" t="s">
        <v>191</v>
      </c>
      <c r="K5" s="105" t="s">
        <v>192</v>
      </c>
      <c r="L5" s="105" t="s">
        <v>193</v>
      </c>
      <c r="M5" s="105" t="s">
        <v>190</v>
      </c>
      <c r="N5" s="105" t="s">
        <v>191</v>
      </c>
      <c r="O5" s="105" t="s">
        <v>192</v>
      </c>
      <c r="P5" s="105" t="s">
        <v>193</v>
      </c>
      <c r="Q5" s="105" t="s">
        <v>190</v>
      </c>
      <c r="R5" s="105" t="s">
        <v>191</v>
      </c>
      <c r="S5" s="105" t="s">
        <v>192</v>
      </c>
      <c r="T5" s="105" t="s">
        <v>193</v>
      </c>
      <c r="U5" s="105" t="s">
        <v>194</v>
      </c>
      <c r="V5" s="105" t="s">
        <v>195</v>
      </c>
      <c r="W5" s="105" t="s">
        <v>196</v>
      </c>
      <c r="X5" s="105" t="s">
        <v>197</v>
      </c>
      <c r="Y5" s="105" t="s">
        <v>190</v>
      </c>
      <c r="Z5" s="105" t="s">
        <v>191</v>
      </c>
      <c r="AA5" s="105" t="s">
        <v>192</v>
      </c>
      <c r="AB5" s="105" t="s">
        <v>193</v>
      </c>
      <c r="AC5" s="105" t="s">
        <v>190</v>
      </c>
      <c r="AD5" s="105" t="s">
        <v>191</v>
      </c>
      <c r="AE5" s="105" t="s">
        <v>192</v>
      </c>
      <c r="AF5" s="105" t="s">
        <v>193</v>
      </c>
    </row>
    <row r="6" spans="1:33" ht="58.5" customHeight="1" x14ac:dyDescent="0.25">
      <c r="A6" s="670"/>
      <c r="B6" s="671"/>
      <c r="C6" s="106"/>
      <c r="D6" s="106"/>
      <c r="E6" s="106">
        <v>1</v>
      </c>
      <c r="F6" s="106">
        <v>3</v>
      </c>
      <c r="G6" s="106"/>
      <c r="H6" s="106"/>
      <c r="I6" s="106">
        <v>1</v>
      </c>
      <c r="J6" s="106">
        <v>3</v>
      </c>
      <c r="K6" s="106"/>
      <c r="L6" s="106"/>
      <c r="M6" s="106">
        <v>1</v>
      </c>
      <c r="N6" s="106">
        <v>5</v>
      </c>
      <c r="O6" s="106"/>
      <c r="P6" s="106"/>
      <c r="Q6" s="106">
        <v>1</v>
      </c>
      <c r="R6" s="106">
        <v>2</v>
      </c>
      <c r="S6" s="106"/>
      <c r="T6" s="106"/>
      <c r="U6" s="106">
        <f>C6+E6+G6+I6+K6+M6+O6+Q6+S6</f>
        <v>4</v>
      </c>
      <c r="V6" s="106">
        <v>2</v>
      </c>
      <c r="W6" s="106">
        <f>D6+F6+J6+N6+R6</f>
        <v>13</v>
      </c>
      <c r="X6" s="106">
        <v>3</v>
      </c>
      <c r="Y6" s="107">
        <v>1</v>
      </c>
      <c r="Z6" s="107">
        <v>2</v>
      </c>
      <c r="AA6" s="107"/>
      <c r="AB6" s="107"/>
      <c r="AC6" s="107">
        <v>1</v>
      </c>
      <c r="AD6" s="107">
        <v>1</v>
      </c>
      <c r="AE6" s="107"/>
      <c r="AF6" s="107"/>
      <c r="AG6" s="108"/>
    </row>
    <row r="7" spans="1:33" x14ac:dyDescent="0.25">
      <c r="A7" s="672"/>
      <c r="B7" s="673"/>
      <c r="C7" s="676" t="s">
        <v>182</v>
      </c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678"/>
      <c r="S7" s="676" t="s">
        <v>198</v>
      </c>
      <c r="T7" s="677"/>
      <c r="U7" s="677"/>
      <c r="V7" s="677"/>
      <c r="W7" s="677"/>
      <c r="X7" s="677"/>
      <c r="Y7" s="677"/>
      <c r="Z7" s="677"/>
      <c r="AA7" s="677"/>
      <c r="AB7" s="677"/>
      <c r="AC7" s="677"/>
      <c r="AD7" s="678"/>
      <c r="AE7" s="107"/>
      <c r="AF7" s="107"/>
      <c r="AG7" s="108"/>
    </row>
    <row r="8" spans="1:33" ht="15.75" customHeight="1" x14ac:dyDescent="0.25">
      <c r="A8" s="672"/>
      <c r="B8" s="673"/>
      <c r="C8" s="668" t="s">
        <v>199</v>
      </c>
      <c r="D8" s="668"/>
      <c r="E8" s="668"/>
      <c r="F8" s="668"/>
      <c r="G8" s="668" t="s">
        <v>200</v>
      </c>
      <c r="H8" s="668"/>
      <c r="I8" s="668"/>
      <c r="J8" s="668"/>
      <c r="K8" s="668" t="s">
        <v>201</v>
      </c>
      <c r="L8" s="668"/>
      <c r="M8" s="668"/>
      <c r="N8" s="668"/>
      <c r="O8" s="669" t="s">
        <v>4</v>
      </c>
      <c r="P8" s="669"/>
      <c r="Q8" s="669"/>
      <c r="R8" s="669"/>
      <c r="S8" s="668" t="s">
        <v>202</v>
      </c>
      <c r="T8" s="668"/>
      <c r="U8" s="668"/>
      <c r="V8" s="668"/>
      <c r="W8" s="668" t="s">
        <v>203</v>
      </c>
      <c r="X8" s="668"/>
      <c r="Y8" s="668"/>
      <c r="Z8" s="668"/>
      <c r="AA8" s="679" t="s">
        <v>4</v>
      </c>
      <c r="AB8" s="680"/>
      <c r="AC8" s="680"/>
      <c r="AD8" s="680"/>
      <c r="AE8" s="680"/>
      <c r="AF8" s="681"/>
    </row>
    <row r="9" spans="1:33" ht="90.75" x14ac:dyDescent="0.25">
      <c r="A9" s="672"/>
      <c r="B9" s="673"/>
      <c r="C9" s="105" t="s">
        <v>190</v>
      </c>
      <c r="D9" s="105" t="s">
        <v>191</v>
      </c>
      <c r="E9" s="105" t="s">
        <v>192</v>
      </c>
      <c r="F9" s="105" t="s">
        <v>193</v>
      </c>
      <c r="G9" s="105" t="s">
        <v>190</v>
      </c>
      <c r="H9" s="105" t="s">
        <v>191</v>
      </c>
      <c r="I9" s="105" t="s">
        <v>192</v>
      </c>
      <c r="J9" s="105" t="s">
        <v>193</v>
      </c>
      <c r="K9" s="105" t="s">
        <v>190</v>
      </c>
      <c r="L9" s="105" t="s">
        <v>191</v>
      </c>
      <c r="M9" s="105" t="s">
        <v>192</v>
      </c>
      <c r="N9" s="105" t="s">
        <v>193</v>
      </c>
      <c r="O9" s="105" t="s">
        <v>194</v>
      </c>
      <c r="P9" s="105" t="s">
        <v>195</v>
      </c>
      <c r="Q9" s="105" t="s">
        <v>196</v>
      </c>
      <c r="R9" s="105" t="s">
        <v>197</v>
      </c>
      <c r="S9" s="105" t="s">
        <v>190</v>
      </c>
      <c r="T9" s="105" t="s">
        <v>191</v>
      </c>
      <c r="U9" s="105" t="s">
        <v>192</v>
      </c>
      <c r="V9" s="105" t="s">
        <v>193</v>
      </c>
      <c r="W9" s="105" t="s">
        <v>190</v>
      </c>
      <c r="X9" s="105" t="s">
        <v>191</v>
      </c>
      <c r="Y9" s="105" t="s">
        <v>192</v>
      </c>
      <c r="Z9" s="105" t="s">
        <v>193</v>
      </c>
      <c r="AA9" s="105" t="s">
        <v>194</v>
      </c>
      <c r="AB9" s="105" t="s">
        <v>195</v>
      </c>
      <c r="AC9" s="682" t="s">
        <v>196</v>
      </c>
      <c r="AD9" s="683"/>
      <c r="AE9" s="682" t="s">
        <v>197</v>
      </c>
      <c r="AF9" s="683"/>
    </row>
    <row r="10" spans="1:33" ht="53.25" customHeight="1" x14ac:dyDescent="0.25">
      <c r="A10" s="674"/>
      <c r="B10" s="675"/>
      <c r="C10" s="107">
        <v>1</v>
      </c>
      <c r="D10" s="107">
        <v>3</v>
      </c>
      <c r="E10" s="107"/>
      <c r="F10" s="107"/>
      <c r="G10" s="107">
        <v>1</v>
      </c>
      <c r="H10" s="107">
        <v>2</v>
      </c>
      <c r="I10" s="107"/>
      <c r="J10" s="107"/>
      <c r="K10" s="107">
        <v>1</v>
      </c>
      <c r="L10" s="107">
        <v>1</v>
      </c>
      <c r="M10" s="107"/>
      <c r="N10" s="107"/>
      <c r="O10" s="106">
        <v>5</v>
      </c>
      <c r="P10" s="106">
        <v>5</v>
      </c>
      <c r="Q10" s="106">
        <v>9</v>
      </c>
      <c r="R10" s="106">
        <v>1</v>
      </c>
      <c r="S10" s="107"/>
      <c r="T10" s="107"/>
      <c r="U10" s="107"/>
      <c r="V10" s="107"/>
      <c r="W10" s="107"/>
      <c r="X10" s="107"/>
      <c r="Y10" s="107"/>
      <c r="Z10" s="107"/>
      <c r="AA10" s="106"/>
      <c r="AB10" s="106"/>
      <c r="AC10" s="684"/>
      <c r="AD10" s="685"/>
      <c r="AE10" s="684"/>
      <c r="AF10" s="685"/>
    </row>
    <row r="11" spans="1:33" ht="15.75" customHeight="1" x14ac:dyDescent="0.25">
      <c r="A11" s="109">
        <f>O13+Q13+S13+U13</f>
        <v>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/>
      <c r="X11" s="669" t="s">
        <v>204</v>
      </c>
      <c r="Y11" s="669"/>
      <c r="Z11" s="669"/>
      <c r="AA11" s="669"/>
      <c r="AB11" s="669"/>
      <c r="AC11" s="669"/>
      <c r="AD11" s="669"/>
      <c r="AE11" s="669"/>
      <c r="AF11" s="669"/>
    </row>
    <row r="12" spans="1:33" ht="75" customHeight="1" x14ac:dyDescent="0.25">
      <c r="A12" s="688" t="s">
        <v>205</v>
      </c>
      <c r="B12" s="688"/>
      <c r="C12" s="689" t="s">
        <v>206</v>
      </c>
      <c r="D12" s="689"/>
      <c r="E12" s="689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  <c r="X12" s="690" t="s">
        <v>194</v>
      </c>
      <c r="Y12" s="690"/>
      <c r="Z12" s="690" t="s">
        <v>195</v>
      </c>
      <c r="AA12" s="690"/>
      <c r="AB12" s="690"/>
      <c r="AC12" s="690" t="s">
        <v>196</v>
      </c>
      <c r="AD12" s="690"/>
      <c r="AE12" s="690" t="s">
        <v>197</v>
      </c>
      <c r="AF12" s="690"/>
    </row>
    <row r="13" spans="1:33" ht="68.25" customHeight="1" x14ac:dyDescent="0.25">
      <c r="A13" s="688" t="s">
        <v>207</v>
      </c>
      <c r="B13" s="688"/>
      <c r="C13" s="691"/>
      <c r="D13" s="691"/>
      <c r="E13" s="69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  <c r="X13" s="692">
        <v>9</v>
      </c>
      <c r="Y13" s="692"/>
      <c r="Z13" s="692">
        <v>7</v>
      </c>
      <c r="AA13" s="692"/>
      <c r="AB13" s="692"/>
      <c r="AC13" s="686">
        <v>22</v>
      </c>
      <c r="AD13" s="687"/>
      <c r="AE13" s="686">
        <v>2</v>
      </c>
      <c r="AF13" s="687"/>
    </row>
    <row r="15" spans="1:33" x14ac:dyDescent="0.25">
      <c r="A15" s="693" t="s">
        <v>208</v>
      </c>
      <c r="B15" s="693"/>
      <c r="C15" s="693"/>
      <c r="D15" s="693"/>
      <c r="E15" s="693"/>
      <c r="F15" s="113"/>
      <c r="G15" s="694" t="s">
        <v>209</v>
      </c>
      <c r="H15" s="694"/>
      <c r="I15" s="113"/>
      <c r="J15" s="114"/>
      <c r="K15" s="694" t="s">
        <v>210</v>
      </c>
      <c r="L15" s="694"/>
      <c r="M15" s="694"/>
      <c r="N15" s="694"/>
      <c r="O15" s="694"/>
      <c r="P15" s="694"/>
      <c r="Q15" s="694"/>
      <c r="R15" s="694"/>
      <c r="S15" s="694"/>
      <c r="T15" s="694"/>
    </row>
    <row r="16" spans="1:33" x14ac:dyDescent="0.25">
      <c r="E16" s="114"/>
      <c r="F16" s="114"/>
      <c r="G16" s="695" t="s">
        <v>211</v>
      </c>
      <c r="H16" s="695"/>
      <c r="I16" s="114"/>
      <c r="J16" s="114"/>
      <c r="K16" s="696" t="s">
        <v>212</v>
      </c>
      <c r="L16" s="696"/>
      <c r="M16" s="696"/>
      <c r="N16" s="696"/>
      <c r="O16" s="696"/>
      <c r="P16" s="696"/>
      <c r="Q16" s="696"/>
      <c r="R16" s="696"/>
      <c r="S16" s="696"/>
      <c r="T16" s="696"/>
    </row>
  </sheetData>
  <mergeCells count="44">
    <mergeCell ref="A15:E15"/>
    <mergeCell ref="G15:H15"/>
    <mergeCell ref="K15:T15"/>
    <mergeCell ref="G16:H16"/>
    <mergeCell ref="K16:T16"/>
    <mergeCell ref="AE13:AF13"/>
    <mergeCell ref="X11:AF11"/>
    <mergeCell ref="A12:B12"/>
    <mergeCell ref="C12:E12"/>
    <mergeCell ref="X12:Y12"/>
    <mergeCell ref="Z12:AB12"/>
    <mergeCell ref="AC12:AD12"/>
    <mergeCell ref="AE12:AF12"/>
    <mergeCell ref="A13:B13"/>
    <mergeCell ref="C13:E13"/>
    <mergeCell ref="X13:Y13"/>
    <mergeCell ref="Z13:AB13"/>
    <mergeCell ref="AC13:AD13"/>
    <mergeCell ref="A6:B10"/>
    <mergeCell ref="C7:R7"/>
    <mergeCell ref="S7:AD7"/>
    <mergeCell ref="C8:F8"/>
    <mergeCell ref="G8:J8"/>
    <mergeCell ref="K8:N8"/>
    <mergeCell ref="O8:R8"/>
    <mergeCell ref="S8:V8"/>
    <mergeCell ref="W8:Z8"/>
    <mergeCell ref="AA8:AF8"/>
    <mergeCell ref="AC9:AD9"/>
    <mergeCell ref="AE9:AF9"/>
    <mergeCell ref="AC10:AD10"/>
    <mergeCell ref="AE10:AF10"/>
    <mergeCell ref="A1:T1"/>
    <mergeCell ref="A3:B5"/>
    <mergeCell ref="C3:X3"/>
    <mergeCell ref="Y3:AF3"/>
    <mergeCell ref="C4:D4"/>
    <mergeCell ref="E4:H4"/>
    <mergeCell ref="I4:L4"/>
    <mergeCell ref="M4:P4"/>
    <mergeCell ref="Q4:T4"/>
    <mergeCell ref="U4:X4"/>
    <mergeCell ref="Y4:AB4"/>
    <mergeCell ref="AC4:AF4"/>
  </mergeCells>
  <pageMargins left="0.7" right="0.7" top="0.75" bottom="0.75" header="0.3" footer="0.3"/>
  <pageSetup paperSize="9" scale="62" fitToWidth="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"/>
  <sheetViews>
    <sheetView view="pageBreakPreview" zoomScaleSheetLayoutView="100" workbookViewId="0">
      <selection activeCell="A16" sqref="A16:XFD16"/>
    </sheetView>
  </sheetViews>
  <sheetFormatPr defaultRowHeight="15" x14ac:dyDescent="0.25"/>
  <cols>
    <col min="1" max="1" width="5.28515625" style="115" customWidth="1"/>
    <col min="2" max="2" width="26.85546875" style="115" customWidth="1"/>
    <col min="3" max="3" width="11" style="115" customWidth="1"/>
    <col min="4" max="5" width="14.42578125" style="131" customWidth="1"/>
    <col min="6" max="7" width="9" style="115" customWidth="1"/>
    <col min="8" max="8" width="10.7109375" style="115" customWidth="1"/>
    <col min="9" max="10" width="12.42578125" style="115" customWidth="1"/>
    <col min="11" max="11" width="10.7109375" style="115" customWidth="1"/>
    <col min="12" max="13" width="13.7109375" style="115" customWidth="1"/>
    <col min="14" max="14" width="11" style="115" customWidth="1"/>
    <col min="15" max="16" width="13.85546875" style="115" customWidth="1"/>
    <col min="17" max="17" width="17.42578125" style="115" customWidth="1"/>
    <col min="18" max="18" width="9.140625" style="115" customWidth="1"/>
    <col min="19" max="256" width="9.140625" style="115"/>
    <col min="257" max="257" width="5.28515625" style="115" customWidth="1"/>
    <col min="258" max="258" width="26.85546875" style="115" customWidth="1"/>
    <col min="259" max="259" width="11" style="115" customWidth="1"/>
    <col min="260" max="261" width="14.42578125" style="115" customWidth="1"/>
    <col min="262" max="263" width="9" style="115" customWidth="1"/>
    <col min="264" max="264" width="10.7109375" style="115" customWidth="1"/>
    <col min="265" max="266" width="12.42578125" style="115" customWidth="1"/>
    <col min="267" max="267" width="10.7109375" style="115" customWidth="1"/>
    <col min="268" max="269" width="13.7109375" style="115" customWidth="1"/>
    <col min="270" max="270" width="11" style="115" customWidth="1"/>
    <col min="271" max="272" width="13.85546875" style="115" customWidth="1"/>
    <col min="273" max="273" width="17.42578125" style="115" customWidth="1"/>
    <col min="274" max="274" width="9.140625" style="115" customWidth="1"/>
    <col min="275" max="512" width="9.140625" style="115"/>
    <col min="513" max="513" width="5.28515625" style="115" customWidth="1"/>
    <col min="514" max="514" width="26.85546875" style="115" customWidth="1"/>
    <col min="515" max="515" width="11" style="115" customWidth="1"/>
    <col min="516" max="517" width="14.42578125" style="115" customWidth="1"/>
    <col min="518" max="519" width="9" style="115" customWidth="1"/>
    <col min="520" max="520" width="10.7109375" style="115" customWidth="1"/>
    <col min="521" max="522" width="12.42578125" style="115" customWidth="1"/>
    <col min="523" max="523" width="10.7109375" style="115" customWidth="1"/>
    <col min="524" max="525" width="13.7109375" style="115" customWidth="1"/>
    <col min="526" max="526" width="11" style="115" customWidth="1"/>
    <col min="527" max="528" width="13.85546875" style="115" customWidth="1"/>
    <col min="529" max="529" width="17.42578125" style="115" customWidth="1"/>
    <col min="530" max="530" width="9.140625" style="115" customWidth="1"/>
    <col min="531" max="768" width="9.140625" style="115"/>
    <col min="769" max="769" width="5.28515625" style="115" customWidth="1"/>
    <col min="770" max="770" width="26.85546875" style="115" customWidth="1"/>
    <col min="771" max="771" width="11" style="115" customWidth="1"/>
    <col min="772" max="773" width="14.42578125" style="115" customWidth="1"/>
    <col min="774" max="775" width="9" style="115" customWidth="1"/>
    <col min="776" max="776" width="10.7109375" style="115" customWidth="1"/>
    <col min="777" max="778" width="12.42578125" style="115" customWidth="1"/>
    <col min="779" max="779" width="10.7109375" style="115" customWidth="1"/>
    <col min="780" max="781" width="13.7109375" style="115" customWidth="1"/>
    <col min="782" max="782" width="11" style="115" customWidth="1"/>
    <col min="783" max="784" width="13.85546875" style="115" customWidth="1"/>
    <col min="785" max="785" width="17.42578125" style="115" customWidth="1"/>
    <col min="786" max="786" width="9.140625" style="115" customWidth="1"/>
    <col min="787" max="1024" width="9.140625" style="115"/>
    <col min="1025" max="1025" width="5.28515625" style="115" customWidth="1"/>
    <col min="1026" max="1026" width="26.85546875" style="115" customWidth="1"/>
    <col min="1027" max="1027" width="11" style="115" customWidth="1"/>
    <col min="1028" max="1029" width="14.42578125" style="115" customWidth="1"/>
    <col min="1030" max="1031" width="9" style="115" customWidth="1"/>
    <col min="1032" max="1032" width="10.7109375" style="115" customWidth="1"/>
    <col min="1033" max="1034" width="12.42578125" style="115" customWidth="1"/>
    <col min="1035" max="1035" width="10.7109375" style="115" customWidth="1"/>
    <col min="1036" max="1037" width="13.7109375" style="115" customWidth="1"/>
    <col min="1038" max="1038" width="11" style="115" customWidth="1"/>
    <col min="1039" max="1040" width="13.85546875" style="115" customWidth="1"/>
    <col min="1041" max="1041" width="17.42578125" style="115" customWidth="1"/>
    <col min="1042" max="1042" width="9.140625" style="115" customWidth="1"/>
    <col min="1043" max="1280" width="9.140625" style="115"/>
    <col min="1281" max="1281" width="5.28515625" style="115" customWidth="1"/>
    <col min="1282" max="1282" width="26.85546875" style="115" customWidth="1"/>
    <col min="1283" max="1283" width="11" style="115" customWidth="1"/>
    <col min="1284" max="1285" width="14.42578125" style="115" customWidth="1"/>
    <col min="1286" max="1287" width="9" style="115" customWidth="1"/>
    <col min="1288" max="1288" width="10.7109375" style="115" customWidth="1"/>
    <col min="1289" max="1290" width="12.42578125" style="115" customWidth="1"/>
    <col min="1291" max="1291" width="10.7109375" style="115" customWidth="1"/>
    <col min="1292" max="1293" width="13.7109375" style="115" customWidth="1"/>
    <col min="1294" max="1294" width="11" style="115" customWidth="1"/>
    <col min="1295" max="1296" width="13.85546875" style="115" customWidth="1"/>
    <col min="1297" max="1297" width="17.42578125" style="115" customWidth="1"/>
    <col min="1298" max="1298" width="9.140625" style="115" customWidth="1"/>
    <col min="1299" max="1536" width="9.140625" style="115"/>
    <col min="1537" max="1537" width="5.28515625" style="115" customWidth="1"/>
    <col min="1538" max="1538" width="26.85546875" style="115" customWidth="1"/>
    <col min="1539" max="1539" width="11" style="115" customWidth="1"/>
    <col min="1540" max="1541" width="14.42578125" style="115" customWidth="1"/>
    <col min="1542" max="1543" width="9" style="115" customWidth="1"/>
    <col min="1544" max="1544" width="10.7109375" style="115" customWidth="1"/>
    <col min="1545" max="1546" width="12.42578125" style="115" customWidth="1"/>
    <col min="1547" max="1547" width="10.7109375" style="115" customWidth="1"/>
    <col min="1548" max="1549" width="13.7109375" style="115" customWidth="1"/>
    <col min="1550" max="1550" width="11" style="115" customWidth="1"/>
    <col min="1551" max="1552" width="13.85546875" style="115" customWidth="1"/>
    <col min="1553" max="1553" width="17.42578125" style="115" customWidth="1"/>
    <col min="1554" max="1554" width="9.140625" style="115" customWidth="1"/>
    <col min="1555" max="1792" width="9.140625" style="115"/>
    <col min="1793" max="1793" width="5.28515625" style="115" customWidth="1"/>
    <col min="1794" max="1794" width="26.85546875" style="115" customWidth="1"/>
    <col min="1795" max="1795" width="11" style="115" customWidth="1"/>
    <col min="1796" max="1797" width="14.42578125" style="115" customWidth="1"/>
    <col min="1798" max="1799" width="9" style="115" customWidth="1"/>
    <col min="1800" max="1800" width="10.7109375" style="115" customWidth="1"/>
    <col min="1801" max="1802" width="12.42578125" style="115" customWidth="1"/>
    <col min="1803" max="1803" width="10.7109375" style="115" customWidth="1"/>
    <col min="1804" max="1805" width="13.7109375" style="115" customWidth="1"/>
    <col min="1806" max="1806" width="11" style="115" customWidth="1"/>
    <col min="1807" max="1808" width="13.85546875" style="115" customWidth="1"/>
    <col min="1809" max="1809" width="17.42578125" style="115" customWidth="1"/>
    <col min="1810" max="1810" width="9.140625" style="115" customWidth="1"/>
    <col min="1811" max="2048" width="9.140625" style="115"/>
    <col min="2049" max="2049" width="5.28515625" style="115" customWidth="1"/>
    <col min="2050" max="2050" width="26.85546875" style="115" customWidth="1"/>
    <col min="2051" max="2051" width="11" style="115" customWidth="1"/>
    <col min="2052" max="2053" width="14.42578125" style="115" customWidth="1"/>
    <col min="2054" max="2055" width="9" style="115" customWidth="1"/>
    <col min="2056" max="2056" width="10.7109375" style="115" customWidth="1"/>
    <col min="2057" max="2058" width="12.42578125" style="115" customWidth="1"/>
    <col min="2059" max="2059" width="10.7109375" style="115" customWidth="1"/>
    <col min="2060" max="2061" width="13.7109375" style="115" customWidth="1"/>
    <col min="2062" max="2062" width="11" style="115" customWidth="1"/>
    <col min="2063" max="2064" width="13.85546875" style="115" customWidth="1"/>
    <col min="2065" max="2065" width="17.42578125" style="115" customWidth="1"/>
    <col min="2066" max="2066" width="9.140625" style="115" customWidth="1"/>
    <col min="2067" max="2304" width="9.140625" style="115"/>
    <col min="2305" max="2305" width="5.28515625" style="115" customWidth="1"/>
    <col min="2306" max="2306" width="26.85546875" style="115" customWidth="1"/>
    <col min="2307" max="2307" width="11" style="115" customWidth="1"/>
    <col min="2308" max="2309" width="14.42578125" style="115" customWidth="1"/>
    <col min="2310" max="2311" width="9" style="115" customWidth="1"/>
    <col min="2312" max="2312" width="10.7109375" style="115" customWidth="1"/>
    <col min="2313" max="2314" width="12.42578125" style="115" customWidth="1"/>
    <col min="2315" max="2315" width="10.7109375" style="115" customWidth="1"/>
    <col min="2316" max="2317" width="13.7109375" style="115" customWidth="1"/>
    <col min="2318" max="2318" width="11" style="115" customWidth="1"/>
    <col min="2319" max="2320" width="13.85546875" style="115" customWidth="1"/>
    <col min="2321" max="2321" width="17.42578125" style="115" customWidth="1"/>
    <col min="2322" max="2322" width="9.140625" style="115" customWidth="1"/>
    <col min="2323" max="2560" width="9.140625" style="115"/>
    <col min="2561" max="2561" width="5.28515625" style="115" customWidth="1"/>
    <col min="2562" max="2562" width="26.85546875" style="115" customWidth="1"/>
    <col min="2563" max="2563" width="11" style="115" customWidth="1"/>
    <col min="2564" max="2565" width="14.42578125" style="115" customWidth="1"/>
    <col min="2566" max="2567" width="9" style="115" customWidth="1"/>
    <col min="2568" max="2568" width="10.7109375" style="115" customWidth="1"/>
    <col min="2569" max="2570" width="12.42578125" style="115" customWidth="1"/>
    <col min="2571" max="2571" width="10.7109375" style="115" customWidth="1"/>
    <col min="2572" max="2573" width="13.7109375" style="115" customWidth="1"/>
    <col min="2574" max="2574" width="11" style="115" customWidth="1"/>
    <col min="2575" max="2576" width="13.85546875" style="115" customWidth="1"/>
    <col min="2577" max="2577" width="17.42578125" style="115" customWidth="1"/>
    <col min="2578" max="2578" width="9.140625" style="115" customWidth="1"/>
    <col min="2579" max="2816" width="9.140625" style="115"/>
    <col min="2817" max="2817" width="5.28515625" style="115" customWidth="1"/>
    <col min="2818" max="2818" width="26.85546875" style="115" customWidth="1"/>
    <col min="2819" max="2819" width="11" style="115" customWidth="1"/>
    <col min="2820" max="2821" width="14.42578125" style="115" customWidth="1"/>
    <col min="2822" max="2823" width="9" style="115" customWidth="1"/>
    <col min="2824" max="2824" width="10.7109375" style="115" customWidth="1"/>
    <col min="2825" max="2826" width="12.42578125" style="115" customWidth="1"/>
    <col min="2827" max="2827" width="10.7109375" style="115" customWidth="1"/>
    <col min="2828" max="2829" width="13.7109375" style="115" customWidth="1"/>
    <col min="2830" max="2830" width="11" style="115" customWidth="1"/>
    <col min="2831" max="2832" width="13.85546875" style="115" customWidth="1"/>
    <col min="2833" max="2833" width="17.42578125" style="115" customWidth="1"/>
    <col min="2834" max="2834" width="9.140625" style="115" customWidth="1"/>
    <col min="2835" max="3072" width="9.140625" style="115"/>
    <col min="3073" max="3073" width="5.28515625" style="115" customWidth="1"/>
    <col min="3074" max="3074" width="26.85546875" style="115" customWidth="1"/>
    <col min="3075" max="3075" width="11" style="115" customWidth="1"/>
    <col min="3076" max="3077" width="14.42578125" style="115" customWidth="1"/>
    <col min="3078" max="3079" width="9" style="115" customWidth="1"/>
    <col min="3080" max="3080" width="10.7109375" style="115" customWidth="1"/>
    <col min="3081" max="3082" width="12.42578125" style="115" customWidth="1"/>
    <col min="3083" max="3083" width="10.7109375" style="115" customWidth="1"/>
    <col min="3084" max="3085" width="13.7109375" style="115" customWidth="1"/>
    <col min="3086" max="3086" width="11" style="115" customWidth="1"/>
    <col min="3087" max="3088" width="13.85546875" style="115" customWidth="1"/>
    <col min="3089" max="3089" width="17.42578125" style="115" customWidth="1"/>
    <col min="3090" max="3090" width="9.140625" style="115" customWidth="1"/>
    <col min="3091" max="3328" width="9.140625" style="115"/>
    <col min="3329" max="3329" width="5.28515625" style="115" customWidth="1"/>
    <col min="3330" max="3330" width="26.85546875" style="115" customWidth="1"/>
    <col min="3331" max="3331" width="11" style="115" customWidth="1"/>
    <col min="3332" max="3333" width="14.42578125" style="115" customWidth="1"/>
    <col min="3334" max="3335" width="9" style="115" customWidth="1"/>
    <col min="3336" max="3336" width="10.7109375" style="115" customWidth="1"/>
    <col min="3337" max="3338" width="12.42578125" style="115" customWidth="1"/>
    <col min="3339" max="3339" width="10.7109375" style="115" customWidth="1"/>
    <col min="3340" max="3341" width="13.7109375" style="115" customWidth="1"/>
    <col min="3342" max="3342" width="11" style="115" customWidth="1"/>
    <col min="3343" max="3344" width="13.85546875" style="115" customWidth="1"/>
    <col min="3345" max="3345" width="17.42578125" style="115" customWidth="1"/>
    <col min="3346" max="3346" width="9.140625" style="115" customWidth="1"/>
    <col min="3347" max="3584" width="9.140625" style="115"/>
    <col min="3585" max="3585" width="5.28515625" style="115" customWidth="1"/>
    <col min="3586" max="3586" width="26.85546875" style="115" customWidth="1"/>
    <col min="3587" max="3587" width="11" style="115" customWidth="1"/>
    <col min="3588" max="3589" width="14.42578125" style="115" customWidth="1"/>
    <col min="3590" max="3591" width="9" style="115" customWidth="1"/>
    <col min="3592" max="3592" width="10.7109375" style="115" customWidth="1"/>
    <col min="3593" max="3594" width="12.42578125" style="115" customWidth="1"/>
    <col min="3595" max="3595" width="10.7109375" style="115" customWidth="1"/>
    <col min="3596" max="3597" width="13.7109375" style="115" customWidth="1"/>
    <col min="3598" max="3598" width="11" style="115" customWidth="1"/>
    <col min="3599" max="3600" width="13.85546875" style="115" customWidth="1"/>
    <col min="3601" max="3601" width="17.42578125" style="115" customWidth="1"/>
    <col min="3602" max="3602" width="9.140625" style="115" customWidth="1"/>
    <col min="3603" max="3840" width="9.140625" style="115"/>
    <col min="3841" max="3841" width="5.28515625" style="115" customWidth="1"/>
    <col min="3842" max="3842" width="26.85546875" style="115" customWidth="1"/>
    <col min="3843" max="3843" width="11" style="115" customWidth="1"/>
    <col min="3844" max="3845" width="14.42578125" style="115" customWidth="1"/>
    <col min="3846" max="3847" width="9" style="115" customWidth="1"/>
    <col min="3848" max="3848" width="10.7109375" style="115" customWidth="1"/>
    <col min="3849" max="3850" width="12.42578125" style="115" customWidth="1"/>
    <col min="3851" max="3851" width="10.7109375" style="115" customWidth="1"/>
    <col min="3852" max="3853" width="13.7109375" style="115" customWidth="1"/>
    <col min="3854" max="3854" width="11" style="115" customWidth="1"/>
    <col min="3855" max="3856" width="13.85546875" style="115" customWidth="1"/>
    <col min="3857" max="3857" width="17.42578125" style="115" customWidth="1"/>
    <col min="3858" max="3858" width="9.140625" style="115" customWidth="1"/>
    <col min="3859" max="4096" width="9.140625" style="115"/>
    <col min="4097" max="4097" width="5.28515625" style="115" customWidth="1"/>
    <col min="4098" max="4098" width="26.85546875" style="115" customWidth="1"/>
    <col min="4099" max="4099" width="11" style="115" customWidth="1"/>
    <col min="4100" max="4101" width="14.42578125" style="115" customWidth="1"/>
    <col min="4102" max="4103" width="9" style="115" customWidth="1"/>
    <col min="4104" max="4104" width="10.7109375" style="115" customWidth="1"/>
    <col min="4105" max="4106" width="12.42578125" style="115" customWidth="1"/>
    <col min="4107" max="4107" width="10.7109375" style="115" customWidth="1"/>
    <col min="4108" max="4109" width="13.7109375" style="115" customWidth="1"/>
    <col min="4110" max="4110" width="11" style="115" customWidth="1"/>
    <col min="4111" max="4112" width="13.85546875" style="115" customWidth="1"/>
    <col min="4113" max="4113" width="17.42578125" style="115" customWidth="1"/>
    <col min="4114" max="4114" width="9.140625" style="115" customWidth="1"/>
    <col min="4115" max="4352" width="9.140625" style="115"/>
    <col min="4353" max="4353" width="5.28515625" style="115" customWidth="1"/>
    <col min="4354" max="4354" width="26.85546875" style="115" customWidth="1"/>
    <col min="4355" max="4355" width="11" style="115" customWidth="1"/>
    <col min="4356" max="4357" width="14.42578125" style="115" customWidth="1"/>
    <col min="4358" max="4359" width="9" style="115" customWidth="1"/>
    <col min="4360" max="4360" width="10.7109375" style="115" customWidth="1"/>
    <col min="4361" max="4362" width="12.42578125" style="115" customWidth="1"/>
    <col min="4363" max="4363" width="10.7109375" style="115" customWidth="1"/>
    <col min="4364" max="4365" width="13.7109375" style="115" customWidth="1"/>
    <col min="4366" max="4366" width="11" style="115" customWidth="1"/>
    <col min="4367" max="4368" width="13.85546875" style="115" customWidth="1"/>
    <col min="4369" max="4369" width="17.42578125" style="115" customWidth="1"/>
    <col min="4370" max="4370" width="9.140625" style="115" customWidth="1"/>
    <col min="4371" max="4608" width="9.140625" style="115"/>
    <col min="4609" max="4609" width="5.28515625" style="115" customWidth="1"/>
    <col min="4610" max="4610" width="26.85546875" style="115" customWidth="1"/>
    <col min="4611" max="4611" width="11" style="115" customWidth="1"/>
    <col min="4612" max="4613" width="14.42578125" style="115" customWidth="1"/>
    <col min="4614" max="4615" width="9" style="115" customWidth="1"/>
    <col min="4616" max="4616" width="10.7109375" style="115" customWidth="1"/>
    <col min="4617" max="4618" width="12.42578125" style="115" customWidth="1"/>
    <col min="4619" max="4619" width="10.7109375" style="115" customWidth="1"/>
    <col min="4620" max="4621" width="13.7109375" style="115" customWidth="1"/>
    <col min="4622" max="4622" width="11" style="115" customWidth="1"/>
    <col min="4623" max="4624" width="13.85546875" style="115" customWidth="1"/>
    <col min="4625" max="4625" width="17.42578125" style="115" customWidth="1"/>
    <col min="4626" max="4626" width="9.140625" style="115" customWidth="1"/>
    <col min="4627" max="4864" width="9.140625" style="115"/>
    <col min="4865" max="4865" width="5.28515625" style="115" customWidth="1"/>
    <col min="4866" max="4866" width="26.85546875" style="115" customWidth="1"/>
    <col min="4867" max="4867" width="11" style="115" customWidth="1"/>
    <col min="4868" max="4869" width="14.42578125" style="115" customWidth="1"/>
    <col min="4870" max="4871" width="9" style="115" customWidth="1"/>
    <col min="4872" max="4872" width="10.7109375" style="115" customWidth="1"/>
    <col min="4873" max="4874" width="12.42578125" style="115" customWidth="1"/>
    <col min="4875" max="4875" width="10.7109375" style="115" customWidth="1"/>
    <col min="4876" max="4877" width="13.7109375" style="115" customWidth="1"/>
    <col min="4878" max="4878" width="11" style="115" customWidth="1"/>
    <col min="4879" max="4880" width="13.85546875" style="115" customWidth="1"/>
    <col min="4881" max="4881" width="17.42578125" style="115" customWidth="1"/>
    <col min="4882" max="4882" width="9.140625" style="115" customWidth="1"/>
    <col min="4883" max="5120" width="9.140625" style="115"/>
    <col min="5121" max="5121" width="5.28515625" style="115" customWidth="1"/>
    <col min="5122" max="5122" width="26.85546875" style="115" customWidth="1"/>
    <col min="5123" max="5123" width="11" style="115" customWidth="1"/>
    <col min="5124" max="5125" width="14.42578125" style="115" customWidth="1"/>
    <col min="5126" max="5127" width="9" style="115" customWidth="1"/>
    <col min="5128" max="5128" width="10.7109375" style="115" customWidth="1"/>
    <col min="5129" max="5130" width="12.42578125" style="115" customWidth="1"/>
    <col min="5131" max="5131" width="10.7109375" style="115" customWidth="1"/>
    <col min="5132" max="5133" width="13.7109375" style="115" customWidth="1"/>
    <col min="5134" max="5134" width="11" style="115" customWidth="1"/>
    <col min="5135" max="5136" width="13.85546875" style="115" customWidth="1"/>
    <col min="5137" max="5137" width="17.42578125" style="115" customWidth="1"/>
    <col min="5138" max="5138" width="9.140625" style="115" customWidth="1"/>
    <col min="5139" max="5376" width="9.140625" style="115"/>
    <col min="5377" max="5377" width="5.28515625" style="115" customWidth="1"/>
    <col min="5378" max="5378" width="26.85546875" style="115" customWidth="1"/>
    <col min="5379" max="5379" width="11" style="115" customWidth="1"/>
    <col min="5380" max="5381" width="14.42578125" style="115" customWidth="1"/>
    <col min="5382" max="5383" width="9" style="115" customWidth="1"/>
    <col min="5384" max="5384" width="10.7109375" style="115" customWidth="1"/>
    <col min="5385" max="5386" width="12.42578125" style="115" customWidth="1"/>
    <col min="5387" max="5387" width="10.7109375" style="115" customWidth="1"/>
    <col min="5388" max="5389" width="13.7109375" style="115" customWidth="1"/>
    <col min="5390" max="5390" width="11" style="115" customWidth="1"/>
    <col min="5391" max="5392" width="13.85546875" style="115" customWidth="1"/>
    <col min="5393" max="5393" width="17.42578125" style="115" customWidth="1"/>
    <col min="5394" max="5394" width="9.140625" style="115" customWidth="1"/>
    <col min="5395" max="5632" width="9.140625" style="115"/>
    <col min="5633" max="5633" width="5.28515625" style="115" customWidth="1"/>
    <col min="5634" max="5634" width="26.85546875" style="115" customWidth="1"/>
    <col min="5635" max="5635" width="11" style="115" customWidth="1"/>
    <col min="5636" max="5637" width="14.42578125" style="115" customWidth="1"/>
    <col min="5638" max="5639" width="9" style="115" customWidth="1"/>
    <col min="5640" max="5640" width="10.7109375" style="115" customWidth="1"/>
    <col min="5641" max="5642" width="12.42578125" style="115" customWidth="1"/>
    <col min="5643" max="5643" width="10.7109375" style="115" customWidth="1"/>
    <col min="5644" max="5645" width="13.7109375" style="115" customWidth="1"/>
    <col min="5646" max="5646" width="11" style="115" customWidth="1"/>
    <col min="5647" max="5648" width="13.85546875" style="115" customWidth="1"/>
    <col min="5649" max="5649" width="17.42578125" style="115" customWidth="1"/>
    <col min="5650" max="5650" width="9.140625" style="115" customWidth="1"/>
    <col min="5651" max="5888" width="9.140625" style="115"/>
    <col min="5889" max="5889" width="5.28515625" style="115" customWidth="1"/>
    <col min="5890" max="5890" width="26.85546875" style="115" customWidth="1"/>
    <col min="5891" max="5891" width="11" style="115" customWidth="1"/>
    <col min="5892" max="5893" width="14.42578125" style="115" customWidth="1"/>
    <col min="5894" max="5895" width="9" style="115" customWidth="1"/>
    <col min="5896" max="5896" width="10.7109375" style="115" customWidth="1"/>
    <col min="5897" max="5898" width="12.42578125" style="115" customWidth="1"/>
    <col min="5899" max="5899" width="10.7109375" style="115" customWidth="1"/>
    <col min="5900" max="5901" width="13.7109375" style="115" customWidth="1"/>
    <col min="5902" max="5902" width="11" style="115" customWidth="1"/>
    <col min="5903" max="5904" width="13.85546875" style="115" customWidth="1"/>
    <col min="5905" max="5905" width="17.42578125" style="115" customWidth="1"/>
    <col min="5906" max="5906" width="9.140625" style="115" customWidth="1"/>
    <col min="5907" max="6144" width="9.140625" style="115"/>
    <col min="6145" max="6145" width="5.28515625" style="115" customWidth="1"/>
    <col min="6146" max="6146" width="26.85546875" style="115" customWidth="1"/>
    <col min="6147" max="6147" width="11" style="115" customWidth="1"/>
    <col min="6148" max="6149" width="14.42578125" style="115" customWidth="1"/>
    <col min="6150" max="6151" width="9" style="115" customWidth="1"/>
    <col min="6152" max="6152" width="10.7109375" style="115" customWidth="1"/>
    <col min="6153" max="6154" width="12.42578125" style="115" customWidth="1"/>
    <col min="6155" max="6155" width="10.7109375" style="115" customWidth="1"/>
    <col min="6156" max="6157" width="13.7109375" style="115" customWidth="1"/>
    <col min="6158" max="6158" width="11" style="115" customWidth="1"/>
    <col min="6159" max="6160" width="13.85546875" style="115" customWidth="1"/>
    <col min="6161" max="6161" width="17.42578125" style="115" customWidth="1"/>
    <col min="6162" max="6162" width="9.140625" style="115" customWidth="1"/>
    <col min="6163" max="6400" width="9.140625" style="115"/>
    <col min="6401" max="6401" width="5.28515625" style="115" customWidth="1"/>
    <col min="6402" max="6402" width="26.85546875" style="115" customWidth="1"/>
    <col min="6403" max="6403" width="11" style="115" customWidth="1"/>
    <col min="6404" max="6405" width="14.42578125" style="115" customWidth="1"/>
    <col min="6406" max="6407" width="9" style="115" customWidth="1"/>
    <col min="6408" max="6408" width="10.7109375" style="115" customWidth="1"/>
    <col min="6409" max="6410" width="12.42578125" style="115" customWidth="1"/>
    <col min="6411" max="6411" width="10.7109375" style="115" customWidth="1"/>
    <col min="6412" max="6413" width="13.7109375" style="115" customWidth="1"/>
    <col min="6414" max="6414" width="11" style="115" customWidth="1"/>
    <col min="6415" max="6416" width="13.85546875" style="115" customWidth="1"/>
    <col min="6417" max="6417" width="17.42578125" style="115" customWidth="1"/>
    <col min="6418" max="6418" width="9.140625" style="115" customWidth="1"/>
    <col min="6419" max="6656" width="9.140625" style="115"/>
    <col min="6657" max="6657" width="5.28515625" style="115" customWidth="1"/>
    <col min="6658" max="6658" width="26.85546875" style="115" customWidth="1"/>
    <col min="6659" max="6659" width="11" style="115" customWidth="1"/>
    <col min="6660" max="6661" width="14.42578125" style="115" customWidth="1"/>
    <col min="6662" max="6663" width="9" style="115" customWidth="1"/>
    <col min="6664" max="6664" width="10.7109375" style="115" customWidth="1"/>
    <col min="6665" max="6666" width="12.42578125" style="115" customWidth="1"/>
    <col min="6667" max="6667" width="10.7109375" style="115" customWidth="1"/>
    <col min="6668" max="6669" width="13.7109375" style="115" customWidth="1"/>
    <col min="6670" max="6670" width="11" style="115" customWidth="1"/>
    <col min="6671" max="6672" width="13.85546875" style="115" customWidth="1"/>
    <col min="6673" max="6673" width="17.42578125" style="115" customWidth="1"/>
    <col min="6674" max="6674" width="9.140625" style="115" customWidth="1"/>
    <col min="6675" max="6912" width="9.140625" style="115"/>
    <col min="6913" max="6913" width="5.28515625" style="115" customWidth="1"/>
    <col min="6914" max="6914" width="26.85546875" style="115" customWidth="1"/>
    <col min="6915" max="6915" width="11" style="115" customWidth="1"/>
    <col min="6916" max="6917" width="14.42578125" style="115" customWidth="1"/>
    <col min="6918" max="6919" width="9" style="115" customWidth="1"/>
    <col min="6920" max="6920" width="10.7109375" style="115" customWidth="1"/>
    <col min="6921" max="6922" width="12.42578125" style="115" customWidth="1"/>
    <col min="6923" max="6923" width="10.7109375" style="115" customWidth="1"/>
    <col min="6924" max="6925" width="13.7109375" style="115" customWidth="1"/>
    <col min="6926" max="6926" width="11" style="115" customWidth="1"/>
    <col min="6927" max="6928" width="13.85546875" style="115" customWidth="1"/>
    <col min="6929" max="6929" width="17.42578125" style="115" customWidth="1"/>
    <col min="6930" max="6930" width="9.140625" style="115" customWidth="1"/>
    <col min="6931" max="7168" width="9.140625" style="115"/>
    <col min="7169" max="7169" width="5.28515625" style="115" customWidth="1"/>
    <col min="7170" max="7170" width="26.85546875" style="115" customWidth="1"/>
    <col min="7171" max="7171" width="11" style="115" customWidth="1"/>
    <col min="7172" max="7173" width="14.42578125" style="115" customWidth="1"/>
    <col min="7174" max="7175" width="9" style="115" customWidth="1"/>
    <col min="7176" max="7176" width="10.7109375" style="115" customWidth="1"/>
    <col min="7177" max="7178" width="12.42578125" style="115" customWidth="1"/>
    <col min="7179" max="7179" width="10.7109375" style="115" customWidth="1"/>
    <col min="7180" max="7181" width="13.7109375" style="115" customWidth="1"/>
    <col min="7182" max="7182" width="11" style="115" customWidth="1"/>
    <col min="7183" max="7184" width="13.85546875" style="115" customWidth="1"/>
    <col min="7185" max="7185" width="17.42578125" style="115" customWidth="1"/>
    <col min="7186" max="7186" width="9.140625" style="115" customWidth="1"/>
    <col min="7187" max="7424" width="9.140625" style="115"/>
    <col min="7425" max="7425" width="5.28515625" style="115" customWidth="1"/>
    <col min="7426" max="7426" width="26.85546875" style="115" customWidth="1"/>
    <col min="7427" max="7427" width="11" style="115" customWidth="1"/>
    <col min="7428" max="7429" width="14.42578125" style="115" customWidth="1"/>
    <col min="7430" max="7431" width="9" style="115" customWidth="1"/>
    <col min="7432" max="7432" width="10.7109375" style="115" customWidth="1"/>
    <col min="7433" max="7434" width="12.42578125" style="115" customWidth="1"/>
    <col min="7435" max="7435" width="10.7109375" style="115" customWidth="1"/>
    <col min="7436" max="7437" width="13.7109375" style="115" customWidth="1"/>
    <col min="7438" max="7438" width="11" style="115" customWidth="1"/>
    <col min="7439" max="7440" width="13.85546875" style="115" customWidth="1"/>
    <col min="7441" max="7441" width="17.42578125" style="115" customWidth="1"/>
    <col min="7442" max="7442" width="9.140625" style="115" customWidth="1"/>
    <col min="7443" max="7680" width="9.140625" style="115"/>
    <col min="7681" max="7681" width="5.28515625" style="115" customWidth="1"/>
    <col min="7682" max="7682" width="26.85546875" style="115" customWidth="1"/>
    <col min="7683" max="7683" width="11" style="115" customWidth="1"/>
    <col min="7684" max="7685" width="14.42578125" style="115" customWidth="1"/>
    <col min="7686" max="7687" width="9" style="115" customWidth="1"/>
    <col min="7688" max="7688" width="10.7109375" style="115" customWidth="1"/>
    <col min="7689" max="7690" width="12.42578125" style="115" customWidth="1"/>
    <col min="7691" max="7691" width="10.7109375" style="115" customWidth="1"/>
    <col min="7692" max="7693" width="13.7109375" style="115" customWidth="1"/>
    <col min="7694" max="7694" width="11" style="115" customWidth="1"/>
    <col min="7695" max="7696" width="13.85546875" style="115" customWidth="1"/>
    <col min="7697" max="7697" width="17.42578125" style="115" customWidth="1"/>
    <col min="7698" max="7698" width="9.140625" style="115" customWidth="1"/>
    <col min="7699" max="7936" width="9.140625" style="115"/>
    <col min="7937" max="7937" width="5.28515625" style="115" customWidth="1"/>
    <col min="7938" max="7938" width="26.85546875" style="115" customWidth="1"/>
    <col min="7939" max="7939" width="11" style="115" customWidth="1"/>
    <col min="7940" max="7941" width="14.42578125" style="115" customWidth="1"/>
    <col min="7942" max="7943" width="9" style="115" customWidth="1"/>
    <col min="7944" max="7944" width="10.7109375" style="115" customWidth="1"/>
    <col min="7945" max="7946" width="12.42578125" style="115" customWidth="1"/>
    <col min="7947" max="7947" width="10.7109375" style="115" customWidth="1"/>
    <col min="7948" max="7949" width="13.7109375" style="115" customWidth="1"/>
    <col min="7950" max="7950" width="11" style="115" customWidth="1"/>
    <col min="7951" max="7952" width="13.85546875" style="115" customWidth="1"/>
    <col min="7953" max="7953" width="17.42578125" style="115" customWidth="1"/>
    <col min="7954" max="7954" width="9.140625" style="115" customWidth="1"/>
    <col min="7955" max="8192" width="9.140625" style="115"/>
    <col min="8193" max="8193" width="5.28515625" style="115" customWidth="1"/>
    <col min="8194" max="8194" width="26.85546875" style="115" customWidth="1"/>
    <col min="8195" max="8195" width="11" style="115" customWidth="1"/>
    <col min="8196" max="8197" width="14.42578125" style="115" customWidth="1"/>
    <col min="8198" max="8199" width="9" style="115" customWidth="1"/>
    <col min="8200" max="8200" width="10.7109375" style="115" customWidth="1"/>
    <col min="8201" max="8202" width="12.42578125" style="115" customWidth="1"/>
    <col min="8203" max="8203" width="10.7109375" style="115" customWidth="1"/>
    <col min="8204" max="8205" width="13.7109375" style="115" customWidth="1"/>
    <col min="8206" max="8206" width="11" style="115" customWidth="1"/>
    <col min="8207" max="8208" width="13.85546875" style="115" customWidth="1"/>
    <col min="8209" max="8209" width="17.42578125" style="115" customWidth="1"/>
    <col min="8210" max="8210" width="9.140625" style="115" customWidth="1"/>
    <col min="8211" max="8448" width="9.140625" style="115"/>
    <col min="8449" max="8449" width="5.28515625" style="115" customWidth="1"/>
    <col min="8450" max="8450" width="26.85546875" style="115" customWidth="1"/>
    <col min="8451" max="8451" width="11" style="115" customWidth="1"/>
    <col min="8452" max="8453" width="14.42578125" style="115" customWidth="1"/>
    <col min="8454" max="8455" width="9" style="115" customWidth="1"/>
    <col min="8456" max="8456" width="10.7109375" style="115" customWidth="1"/>
    <col min="8457" max="8458" width="12.42578125" style="115" customWidth="1"/>
    <col min="8459" max="8459" width="10.7109375" style="115" customWidth="1"/>
    <col min="8460" max="8461" width="13.7109375" style="115" customWidth="1"/>
    <col min="8462" max="8462" width="11" style="115" customWidth="1"/>
    <col min="8463" max="8464" width="13.85546875" style="115" customWidth="1"/>
    <col min="8465" max="8465" width="17.42578125" style="115" customWidth="1"/>
    <col min="8466" max="8466" width="9.140625" style="115" customWidth="1"/>
    <col min="8467" max="8704" width="9.140625" style="115"/>
    <col min="8705" max="8705" width="5.28515625" style="115" customWidth="1"/>
    <col min="8706" max="8706" width="26.85546875" style="115" customWidth="1"/>
    <col min="8707" max="8707" width="11" style="115" customWidth="1"/>
    <col min="8708" max="8709" width="14.42578125" style="115" customWidth="1"/>
    <col min="8710" max="8711" width="9" style="115" customWidth="1"/>
    <col min="8712" max="8712" width="10.7109375" style="115" customWidth="1"/>
    <col min="8713" max="8714" width="12.42578125" style="115" customWidth="1"/>
    <col min="8715" max="8715" width="10.7109375" style="115" customWidth="1"/>
    <col min="8716" max="8717" width="13.7109375" style="115" customWidth="1"/>
    <col min="8718" max="8718" width="11" style="115" customWidth="1"/>
    <col min="8719" max="8720" width="13.85546875" style="115" customWidth="1"/>
    <col min="8721" max="8721" width="17.42578125" style="115" customWidth="1"/>
    <col min="8722" max="8722" width="9.140625" style="115" customWidth="1"/>
    <col min="8723" max="8960" width="9.140625" style="115"/>
    <col min="8961" max="8961" width="5.28515625" style="115" customWidth="1"/>
    <col min="8962" max="8962" width="26.85546875" style="115" customWidth="1"/>
    <col min="8963" max="8963" width="11" style="115" customWidth="1"/>
    <col min="8964" max="8965" width="14.42578125" style="115" customWidth="1"/>
    <col min="8966" max="8967" width="9" style="115" customWidth="1"/>
    <col min="8968" max="8968" width="10.7109375" style="115" customWidth="1"/>
    <col min="8969" max="8970" width="12.42578125" style="115" customWidth="1"/>
    <col min="8971" max="8971" width="10.7109375" style="115" customWidth="1"/>
    <col min="8972" max="8973" width="13.7109375" style="115" customWidth="1"/>
    <col min="8974" max="8974" width="11" style="115" customWidth="1"/>
    <col min="8975" max="8976" width="13.85546875" style="115" customWidth="1"/>
    <col min="8977" max="8977" width="17.42578125" style="115" customWidth="1"/>
    <col min="8978" max="8978" width="9.140625" style="115" customWidth="1"/>
    <col min="8979" max="9216" width="9.140625" style="115"/>
    <col min="9217" max="9217" width="5.28515625" style="115" customWidth="1"/>
    <col min="9218" max="9218" width="26.85546875" style="115" customWidth="1"/>
    <col min="9219" max="9219" width="11" style="115" customWidth="1"/>
    <col min="9220" max="9221" width="14.42578125" style="115" customWidth="1"/>
    <col min="9222" max="9223" width="9" style="115" customWidth="1"/>
    <col min="9224" max="9224" width="10.7109375" style="115" customWidth="1"/>
    <col min="9225" max="9226" width="12.42578125" style="115" customWidth="1"/>
    <col min="9227" max="9227" width="10.7109375" style="115" customWidth="1"/>
    <col min="9228" max="9229" width="13.7109375" style="115" customWidth="1"/>
    <col min="9230" max="9230" width="11" style="115" customWidth="1"/>
    <col min="9231" max="9232" width="13.85546875" style="115" customWidth="1"/>
    <col min="9233" max="9233" width="17.42578125" style="115" customWidth="1"/>
    <col min="9234" max="9234" width="9.140625" style="115" customWidth="1"/>
    <col min="9235" max="9472" width="9.140625" style="115"/>
    <col min="9473" max="9473" width="5.28515625" style="115" customWidth="1"/>
    <col min="9474" max="9474" width="26.85546875" style="115" customWidth="1"/>
    <col min="9475" max="9475" width="11" style="115" customWidth="1"/>
    <col min="9476" max="9477" width="14.42578125" style="115" customWidth="1"/>
    <col min="9478" max="9479" width="9" style="115" customWidth="1"/>
    <col min="9480" max="9480" width="10.7109375" style="115" customWidth="1"/>
    <col min="9481" max="9482" width="12.42578125" style="115" customWidth="1"/>
    <col min="9483" max="9483" width="10.7109375" style="115" customWidth="1"/>
    <col min="9484" max="9485" width="13.7109375" style="115" customWidth="1"/>
    <col min="9486" max="9486" width="11" style="115" customWidth="1"/>
    <col min="9487" max="9488" width="13.85546875" style="115" customWidth="1"/>
    <col min="9489" max="9489" width="17.42578125" style="115" customWidth="1"/>
    <col min="9490" max="9490" width="9.140625" style="115" customWidth="1"/>
    <col min="9491" max="9728" width="9.140625" style="115"/>
    <col min="9729" max="9729" width="5.28515625" style="115" customWidth="1"/>
    <col min="9730" max="9730" width="26.85546875" style="115" customWidth="1"/>
    <col min="9731" max="9731" width="11" style="115" customWidth="1"/>
    <col min="9732" max="9733" width="14.42578125" style="115" customWidth="1"/>
    <col min="9734" max="9735" width="9" style="115" customWidth="1"/>
    <col min="9736" max="9736" width="10.7109375" style="115" customWidth="1"/>
    <col min="9737" max="9738" width="12.42578125" style="115" customWidth="1"/>
    <col min="9739" max="9739" width="10.7109375" style="115" customWidth="1"/>
    <col min="9740" max="9741" width="13.7109375" style="115" customWidth="1"/>
    <col min="9742" max="9742" width="11" style="115" customWidth="1"/>
    <col min="9743" max="9744" width="13.85546875" style="115" customWidth="1"/>
    <col min="9745" max="9745" width="17.42578125" style="115" customWidth="1"/>
    <col min="9746" max="9746" width="9.140625" style="115" customWidth="1"/>
    <col min="9747" max="9984" width="9.140625" style="115"/>
    <col min="9985" max="9985" width="5.28515625" style="115" customWidth="1"/>
    <col min="9986" max="9986" width="26.85546875" style="115" customWidth="1"/>
    <col min="9987" max="9987" width="11" style="115" customWidth="1"/>
    <col min="9988" max="9989" width="14.42578125" style="115" customWidth="1"/>
    <col min="9990" max="9991" width="9" style="115" customWidth="1"/>
    <col min="9992" max="9992" width="10.7109375" style="115" customWidth="1"/>
    <col min="9993" max="9994" width="12.42578125" style="115" customWidth="1"/>
    <col min="9995" max="9995" width="10.7109375" style="115" customWidth="1"/>
    <col min="9996" max="9997" width="13.7109375" style="115" customWidth="1"/>
    <col min="9998" max="9998" width="11" style="115" customWidth="1"/>
    <col min="9999" max="10000" width="13.85546875" style="115" customWidth="1"/>
    <col min="10001" max="10001" width="17.42578125" style="115" customWidth="1"/>
    <col min="10002" max="10002" width="9.140625" style="115" customWidth="1"/>
    <col min="10003" max="10240" width="9.140625" style="115"/>
    <col min="10241" max="10241" width="5.28515625" style="115" customWidth="1"/>
    <col min="10242" max="10242" width="26.85546875" style="115" customWidth="1"/>
    <col min="10243" max="10243" width="11" style="115" customWidth="1"/>
    <col min="10244" max="10245" width="14.42578125" style="115" customWidth="1"/>
    <col min="10246" max="10247" width="9" style="115" customWidth="1"/>
    <col min="10248" max="10248" width="10.7109375" style="115" customWidth="1"/>
    <col min="10249" max="10250" width="12.42578125" style="115" customWidth="1"/>
    <col min="10251" max="10251" width="10.7109375" style="115" customWidth="1"/>
    <col min="10252" max="10253" width="13.7109375" style="115" customWidth="1"/>
    <col min="10254" max="10254" width="11" style="115" customWidth="1"/>
    <col min="10255" max="10256" width="13.85546875" style="115" customWidth="1"/>
    <col min="10257" max="10257" width="17.42578125" style="115" customWidth="1"/>
    <col min="10258" max="10258" width="9.140625" style="115" customWidth="1"/>
    <col min="10259" max="10496" width="9.140625" style="115"/>
    <col min="10497" max="10497" width="5.28515625" style="115" customWidth="1"/>
    <col min="10498" max="10498" width="26.85546875" style="115" customWidth="1"/>
    <col min="10499" max="10499" width="11" style="115" customWidth="1"/>
    <col min="10500" max="10501" width="14.42578125" style="115" customWidth="1"/>
    <col min="10502" max="10503" width="9" style="115" customWidth="1"/>
    <col min="10504" max="10504" width="10.7109375" style="115" customWidth="1"/>
    <col min="10505" max="10506" width="12.42578125" style="115" customWidth="1"/>
    <col min="10507" max="10507" width="10.7109375" style="115" customWidth="1"/>
    <col min="10508" max="10509" width="13.7109375" style="115" customWidth="1"/>
    <col min="10510" max="10510" width="11" style="115" customWidth="1"/>
    <col min="10511" max="10512" width="13.85546875" style="115" customWidth="1"/>
    <col min="10513" max="10513" width="17.42578125" style="115" customWidth="1"/>
    <col min="10514" max="10514" width="9.140625" style="115" customWidth="1"/>
    <col min="10515" max="10752" width="9.140625" style="115"/>
    <col min="10753" max="10753" width="5.28515625" style="115" customWidth="1"/>
    <col min="10754" max="10754" width="26.85546875" style="115" customWidth="1"/>
    <col min="10755" max="10755" width="11" style="115" customWidth="1"/>
    <col min="10756" max="10757" width="14.42578125" style="115" customWidth="1"/>
    <col min="10758" max="10759" width="9" style="115" customWidth="1"/>
    <col min="10760" max="10760" width="10.7109375" style="115" customWidth="1"/>
    <col min="10761" max="10762" width="12.42578125" style="115" customWidth="1"/>
    <col min="10763" max="10763" width="10.7109375" style="115" customWidth="1"/>
    <col min="10764" max="10765" width="13.7109375" style="115" customWidth="1"/>
    <col min="10766" max="10766" width="11" style="115" customWidth="1"/>
    <col min="10767" max="10768" width="13.85546875" style="115" customWidth="1"/>
    <col min="10769" max="10769" width="17.42578125" style="115" customWidth="1"/>
    <col min="10770" max="10770" width="9.140625" style="115" customWidth="1"/>
    <col min="10771" max="11008" width="9.140625" style="115"/>
    <col min="11009" max="11009" width="5.28515625" style="115" customWidth="1"/>
    <col min="11010" max="11010" width="26.85546875" style="115" customWidth="1"/>
    <col min="11011" max="11011" width="11" style="115" customWidth="1"/>
    <col min="11012" max="11013" width="14.42578125" style="115" customWidth="1"/>
    <col min="11014" max="11015" width="9" style="115" customWidth="1"/>
    <col min="11016" max="11016" width="10.7109375" style="115" customWidth="1"/>
    <col min="11017" max="11018" width="12.42578125" style="115" customWidth="1"/>
    <col min="11019" max="11019" width="10.7109375" style="115" customWidth="1"/>
    <col min="11020" max="11021" width="13.7109375" style="115" customWidth="1"/>
    <col min="11022" max="11022" width="11" style="115" customWidth="1"/>
    <col min="11023" max="11024" width="13.85546875" style="115" customWidth="1"/>
    <col min="11025" max="11025" width="17.42578125" style="115" customWidth="1"/>
    <col min="11026" max="11026" width="9.140625" style="115" customWidth="1"/>
    <col min="11027" max="11264" width="9.140625" style="115"/>
    <col min="11265" max="11265" width="5.28515625" style="115" customWidth="1"/>
    <col min="11266" max="11266" width="26.85546875" style="115" customWidth="1"/>
    <col min="11267" max="11267" width="11" style="115" customWidth="1"/>
    <col min="11268" max="11269" width="14.42578125" style="115" customWidth="1"/>
    <col min="11270" max="11271" width="9" style="115" customWidth="1"/>
    <col min="11272" max="11272" width="10.7109375" style="115" customWidth="1"/>
    <col min="11273" max="11274" width="12.42578125" style="115" customWidth="1"/>
    <col min="11275" max="11275" width="10.7109375" style="115" customWidth="1"/>
    <col min="11276" max="11277" width="13.7109375" style="115" customWidth="1"/>
    <col min="11278" max="11278" width="11" style="115" customWidth="1"/>
    <col min="11279" max="11280" width="13.85546875" style="115" customWidth="1"/>
    <col min="11281" max="11281" width="17.42578125" style="115" customWidth="1"/>
    <col min="11282" max="11282" width="9.140625" style="115" customWidth="1"/>
    <col min="11283" max="11520" width="9.140625" style="115"/>
    <col min="11521" max="11521" width="5.28515625" style="115" customWidth="1"/>
    <col min="11522" max="11522" width="26.85546875" style="115" customWidth="1"/>
    <col min="11523" max="11523" width="11" style="115" customWidth="1"/>
    <col min="11524" max="11525" width="14.42578125" style="115" customWidth="1"/>
    <col min="11526" max="11527" width="9" style="115" customWidth="1"/>
    <col min="11528" max="11528" width="10.7109375" style="115" customWidth="1"/>
    <col min="11529" max="11530" width="12.42578125" style="115" customWidth="1"/>
    <col min="11531" max="11531" width="10.7109375" style="115" customWidth="1"/>
    <col min="11532" max="11533" width="13.7109375" style="115" customWidth="1"/>
    <col min="11534" max="11534" width="11" style="115" customWidth="1"/>
    <col min="11535" max="11536" width="13.85546875" style="115" customWidth="1"/>
    <col min="11537" max="11537" width="17.42578125" style="115" customWidth="1"/>
    <col min="11538" max="11538" width="9.140625" style="115" customWidth="1"/>
    <col min="11539" max="11776" width="9.140625" style="115"/>
    <col min="11777" max="11777" width="5.28515625" style="115" customWidth="1"/>
    <col min="11778" max="11778" width="26.85546875" style="115" customWidth="1"/>
    <col min="11779" max="11779" width="11" style="115" customWidth="1"/>
    <col min="11780" max="11781" width="14.42578125" style="115" customWidth="1"/>
    <col min="11782" max="11783" width="9" style="115" customWidth="1"/>
    <col min="11784" max="11784" width="10.7109375" style="115" customWidth="1"/>
    <col min="11785" max="11786" width="12.42578125" style="115" customWidth="1"/>
    <col min="11787" max="11787" width="10.7109375" style="115" customWidth="1"/>
    <col min="11788" max="11789" width="13.7109375" style="115" customWidth="1"/>
    <col min="11790" max="11790" width="11" style="115" customWidth="1"/>
    <col min="11791" max="11792" width="13.85546875" style="115" customWidth="1"/>
    <col min="11793" max="11793" width="17.42578125" style="115" customWidth="1"/>
    <col min="11794" max="11794" width="9.140625" style="115" customWidth="1"/>
    <col min="11795" max="12032" width="9.140625" style="115"/>
    <col min="12033" max="12033" width="5.28515625" style="115" customWidth="1"/>
    <col min="12034" max="12034" width="26.85546875" style="115" customWidth="1"/>
    <col min="12035" max="12035" width="11" style="115" customWidth="1"/>
    <col min="12036" max="12037" width="14.42578125" style="115" customWidth="1"/>
    <col min="12038" max="12039" width="9" style="115" customWidth="1"/>
    <col min="12040" max="12040" width="10.7109375" style="115" customWidth="1"/>
    <col min="12041" max="12042" width="12.42578125" style="115" customWidth="1"/>
    <col min="12043" max="12043" width="10.7109375" style="115" customWidth="1"/>
    <col min="12044" max="12045" width="13.7109375" style="115" customWidth="1"/>
    <col min="12046" max="12046" width="11" style="115" customWidth="1"/>
    <col min="12047" max="12048" width="13.85546875" style="115" customWidth="1"/>
    <col min="12049" max="12049" width="17.42578125" style="115" customWidth="1"/>
    <col min="12050" max="12050" width="9.140625" style="115" customWidth="1"/>
    <col min="12051" max="12288" width="9.140625" style="115"/>
    <col min="12289" max="12289" width="5.28515625" style="115" customWidth="1"/>
    <col min="12290" max="12290" width="26.85546875" style="115" customWidth="1"/>
    <col min="12291" max="12291" width="11" style="115" customWidth="1"/>
    <col min="12292" max="12293" width="14.42578125" style="115" customWidth="1"/>
    <col min="12294" max="12295" width="9" style="115" customWidth="1"/>
    <col min="12296" max="12296" width="10.7109375" style="115" customWidth="1"/>
    <col min="12297" max="12298" width="12.42578125" style="115" customWidth="1"/>
    <col min="12299" max="12299" width="10.7109375" style="115" customWidth="1"/>
    <col min="12300" max="12301" width="13.7109375" style="115" customWidth="1"/>
    <col min="12302" max="12302" width="11" style="115" customWidth="1"/>
    <col min="12303" max="12304" width="13.85546875" style="115" customWidth="1"/>
    <col min="12305" max="12305" width="17.42578125" style="115" customWidth="1"/>
    <col min="12306" max="12306" width="9.140625" style="115" customWidth="1"/>
    <col min="12307" max="12544" width="9.140625" style="115"/>
    <col min="12545" max="12545" width="5.28515625" style="115" customWidth="1"/>
    <col min="12546" max="12546" width="26.85546875" style="115" customWidth="1"/>
    <col min="12547" max="12547" width="11" style="115" customWidth="1"/>
    <col min="12548" max="12549" width="14.42578125" style="115" customWidth="1"/>
    <col min="12550" max="12551" width="9" style="115" customWidth="1"/>
    <col min="12552" max="12552" width="10.7109375" style="115" customWidth="1"/>
    <col min="12553" max="12554" width="12.42578125" style="115" customWidth="1"/>
    <col min="12555" max="12555" width="10.7109375" style="115" customWidth="1"/>
    <col min="12556" max="12557" width="13.7109375" style="115" customWidth="1"/>
    <col min="12558" max="12558" width="11" style="115" customWidth="1"/>
    <col min="12559" max="12560" width="13.85546875" style="115" customWidth="1"/>
    <col min="12561" max="12561" width="17.42578125" style="115" customWidth="1"/>
    <col min="12562" max="12562" width="9.140625" style="115" customWidth="1"/>
    <col min="12563" max="12800" width="9.140625" style="115"/>
    <col min="12801" max="12801" width="5.28515625" style="115" customWidth="1"/>
    <col min="12802" max="12802" width="26.85546875" style="115" customWidth="1"/>
    <col min="12803" max="12803" width="11" style="115" customWidth="1"/>
    <col min="12804" max="12805" width="14.42578125" style="115" customWidth="1"/>
    <col min="12806" max="12807" width="9" style="115" customWidth="1"/>
    <col min="12808" max="12808" width="10.7109375" style="115" customWidth="1"/>
    <col min="12809" max="12810" width="12.42578125" style="115" customWidth="1"/>
    <col min="12811" max="12811" width="10.7109375" style="115" customWidth="1"/>
    <col min="12812" max="12813" width="13.7109375" style="115" customWidth="1"/>
    <col min="12814" max="12814" width="11" style="115" customWidth="1"/>
    <col min="12815" max="12816" width="13.85546875" style="115" customWidth="1"/>
    <col min="12817" max="12817" width="17.42578125" style="115" customWidth="1"/>
    <col min="12818" max="12818" width="9.140625" style="115" customWidth="1"/>
    <col min="12819" max="13056" width="9.140625" style="115"/>
    <col min="13057" max="13057" width="5.28515625" style="115" customWidth="1"/>
    <col min="13058" max="13058" width="26.85546875" style="115" customWidth="1"/>
    <col min="13059" max="13059" width="11" style="115" customWidth="1"/>
    <col min="13060" max="13061" width="14.42578125" style="115" customWidth="1"/>
    <col min="13062" max="13063" width="9" style="115" customWidth="1"/>
    <col min="13064" max="13064" width="10.7109375" style="115" customWidth="1"/>
    <col min="13065" max="13066" width="12.42578125" style="115" customWidth="1"/>
    <col min="13067" max="13067" width="10.7109375" style="115" customWidth="1"/>
    <col min="13068" max="13069" width="13.7109375" style="115" customWidth="1"/>
    <col min="13070" max="13070" width="11" style="115" customWidth="1"/>
    <col min="13071" max="13072" width="13.85546875" style="115" customWidth="1"/>
    <col min="13073" max="13073" width="17.42578125" style="115" customWidth="1"/>
    <col min="13074" max="13074" width="9.140625" style="115" customWidth="1"/>
    <col min="13075" max="13312" width="9.140625" style="115"/>
    <col min="13313" max="13313" width="5.28515625" style="115" customWidth="1"/>
    <col min="13314" max="13314" width="26.85546875" style="115" customWidth="1"/>
    <col min="13315" max="13315" width="11" style="115" customWidth="1"/>
    <col min="13316" max="13317" width="14.42578125" style="115" customWidth="1"/>
    <col min="13318" max="13319" width="9" style="115" customWidth="1"/>
    <col min="13320" max="13320" width="10.7109375" style="115" customWidth="1"/>
    <col min="13321" max="13322" width="12.42578125" style="115" customWidth="1"/>
    <col min="13323" max="13323" width="10.7109375" style="115" customWidth="1"/>
    <col min="13324" max="13325" width="13.7109375" style="115" customWidth="1"/>
    <col min="13326" max="13326" width="11" style="115" customWidth="1"/>
    <col min="13327" max="13328" width="13.85546875" style="115" customWidth="1"/>
    <col min="13329" max="13329" width="17.42578125" style="115" customWidth="1"/>
    <col min="13330" max="13330" width="9.140625" style="115" customWidth="1"/>
    <col min="13331" max="13568" width="9.140625" style="115"/>
    <col min="13569" max="13569" width="5.28515625" style="115" customWidth="1"/>
    <col min="13570" max="13570" width="26.85546875" style="115" customWidth="1"/>
    <col min="13571" max="13571" width="11" style="115" customWidth="1"/>
    <col min="13572" max="13573" width="14.42578125" style="115" customWidth="1"/>
    <col min="13574" max="13575" width="9" style="115" customWidth="1"/>
    <col min="13576" max="13576" width="10.7109375" style="115" customWidth="1"/>
    <col min="13577" max="13578" width="12.42578125" style="115" customWidth="1"/>
    <col min="13579" max="13579" width="10.7109375" style="115" customWidth="1"/>
    <col min="13580" max="13581" width="13.7109375" style="115" customWidth="1"/>
    <col min="13582" max="13582" width="11" style="115" customWidth="1"/>
    <col min="13583" max="13584" width="13.85546875" style="115" customWidth="1"/>
    <col min="13585" max="13585" width="17.42578125" style="115" customWidth="1"/>
    <col min="13586" max="13586" width="9.140625" style="115" customWidth="1"/>
    <col min="13587" max="13824" width="9.140625" style="115"/>
    <col min="13825" max="13825" width="5.28515625" style="115" customWidth="1"/>
    <col min="13826" max="13826" width="26.85546875" style="115" customWidth="1"/>
    <col min="13827" max="13827" width="11" style="115" customWidth="1"/>
    <col min="13828" max="13829" width="14.42578125" style="115" customWidth="1"/>
    <col min="13830" max="13831" width="9" style="115" customWidth="1"/>
    <col min="13832" max="13832" width="10.7109375" style="115" customWidth="1"/>
    <col min="13833" max="13834" width="12.42578125" style="115" customWidth="1"/>
    <col min="13835" max="13835" width="10.7109375" style="115" customWidth="1"/>
    <col min="13836" max="13837" width="13.7109375" style="115" customWidth="1"/>
    <col min="13838" max="13838" width="11" style="115" customWidth="1"/>
    <col min="13839" max="13840" width="13.85546875" style="115" customWidth="1"/>
    <col min="13841" max="13841" width="17.42578125" style="115" customWidth="1"/>
    <col min="13842" max="13842" width="9.140625" style="115" customWidth="1"/>
    <col min="13843" max="14080" width="9.140625" style="115"/>
    <col min="14081" max="14081" width="5.28515625" style="115" customWidth="1"/>
    <col min="14082" max="14082" width="26.85546875" style="115" customWidth="1"/>
    <col min="14083" max="14083" width="11" style="115" customWidth="1"/>
    <col min="14084" max="14085" width="14.42578125" style="115" customWidth="1"/>
    <col min="14086" max="14087" width="9" style="115" customWidth="1"/>
    <col min="14088" max="14088" width="10.7109375" style="115" customWidth="1"/>
    <col min="14089" max="14090" width="12.42578125" style="115" customWidth="1"/>
    <col min="14091" max="14091" width="10.7109375" style="115" customWidth="1"/>
    <col min="14092" max="14093" width="13.7109375" style="115" customWidth="1"/>
    <col min="14094" max="14094" width="11" style="115" customWidth="1"/>
    <col min="14095" max="14096" width="13.85546875" style="115" customWidth="1"/>
    <col min="14097" max="14097" width="17.42578125" style="115" customWidth="1"/>
    <col min="14098" max="14098" width="9.140625" style="115" customWidth="1"/>
    <col min="14099" max="14336" width="9.140625" style="115"/>
    <col min="14337" max="14337" width="5.28515625" style="115" customWidth="1"/>
    <col min="14338" max="14338" width="26.85546875" style="115" customWidth="1"/>
    <col min="14339" max="14339" width="11" style="115" customWidth="1"/>
    <col min="14340" max="14341" width="14.42578125" style="115" customWidth="1"/>
    <col min="14342" max="14343" width="9" style="115" customWidth="1"/>
    <col min="14344" max="14344" width="10.7109375" style="115" customWidth="1"/>
    <col min="14345" max="14346" width="12.42578125" style="115" customWidth="1"/>
    <col min="14347" max="14347" width="10.7109375" style="115" customWidth="1"/>
    <col min="14348" max="14349" width="13.7109375" style="115" customWidth="1"/>
    <col min="14350" max="14350" width="11" style="115" customWidth="1"/>
    <col min="14351" max="14352" width="13.85546875" style="115" customWidth="1"/>
    <col min="14353" max="14353" width="17.42578125" style="115" customWidth="1"/>
    <col min="14354" max="14354" width="9.140625" style="115" customWidth="1"/>
    <col min="14355" max="14592" width="9.140625" style="115"/>
    <col min="14593" max="14593" width="5.28515625" style="115" customWidth="1"/>
    <col min="14594" max="14594" width="26.85546875" style="115" customWidth="1"/>
    <col min="14595" max="14595" width="11" style="115" customWidth="1"/>
    <col min="14596" max="14597" width="14.42578125" style="115" customWidth="1"/>
    <col min="14598" max="14599" width="9" style="115" customWidth="1"/>
    <col min="14600" max="14600" width="10.7109375" style="115" customWidth="1"/>
    <col min="14601" max="14602" width="12.42578125" style="115" customWidth="1"/>
    <col min="14603" max="14603" width="10.7109375" style="115" customWidth="1"/>
    <col min="14604" max="14605" width="13.7109375" style="115" customWidth="1"/>
    <col min="14606" max="14606" width="11" style="115" customWidth="1"/>
    <col min="14607" max="14608" width="13.85546875" style="115" customWidth="1"/>
    <col min="14609" max="14609" width="17.42578125" style="115" customWidth="1"/>
    <col min="14610" max="14610" width="9.140625" style="115" customWidth="1"/>
    <col min="14611" max="14848" width="9.140625" style="115"/>
    <col min="14849" max="14849" width="5.28515625" style="115" customWidth="1"/>
    <col min="14850" max="14850" width="26.85546875" style="115" customWidth="1"/>
    <col min="14851" max="14851" width="11" style="115" customWidth="1"/>
    <col min="14852" max="14853" width="14.42578125" style="115" customWidth="1"/>
    <col min="14854" max="14855" width="9" style="115" customWidth="1"/>
    <col min="14856" max="14856" width="10.7109375" style="115" customWidth="1"/>
    <col min="14857" max="14858" width="12.42578125" style="115" customWidth="1"/>
    <col min="14859" max="14859" width="10.7109375" style="115" customWidth="1"/>
    <col min="14860" max="14861" width="13.7109375" style="115" customWidth="1"/>
    <col min="14862" max="14862" width="11" style="115" customWidth="1"/>
    <col min="14863" max="14864" width="13.85546875" style="115" customWidth="1"/>
    <col min="14865" max="14865" width="17.42578125" style="115" customWidth="1"/>
    <col min="14866" max="14866" width="9.140625" style="115" customWidth="1"/>
    <col min="14867" max="15104" width="9.140625" style="115"/>
    <col min="15105" max="15105" width="5.28515625" style="115" customWidth="1"/>
    <col min="15106" max="15106" width="26.85546875" style="115" customWidth="1"/>
    <col min="15107" max="15107" width="11" style="115" customWidth="1"/>
    <col min="15108" max="15109" width="14.42578125" style="115" customWidth="1"/>
    <col min="15110" max="15111" width="9" style="115" customWidth="1"/>
    <col min="15112" max="15112" width="10.7109375" style="115" customWidth="1"/>
    <col min="15113" max="15114" width="12.42578125" style="115" customWidth="1"/>
    <col min="15115" max="15115" width="10.7109375" style="115" customWidth="1"/>
    <col min="15116" max="15117" width="13.7109375" style="115" customWidth="1"/>
    <col min="15118" max="15118" width="11" style="115" customWidth="1"/>
    <col min="15119" max="15120" width="13.85546875" style="115" customWidth="1"/>
    <col min="15121" max="15121" width="17.42578125" style="115" customWidth="1"/>
    <col min="15122" max="15122" width="9.140625" style="115" customWidth="1"/>
    <col min="15123" max="15360" width="9.140625" style="115"/>
    <col min="15361" max="15361" width="5.28515625" style="115" customWidth="1"/>
    <col min="15362" max="15362" width="26.85546875" style="115" customWidth="1"/>
    <col min="15363" max="15363" width="11" style="115" customWidth="1"/>
    <col min="15364" max="15365" width="14.42578125" style="115" customWidth="1"/>
    <col min="15366" max="15367" width="9" style="115" customWidth="1"/>
    <col min="15368" max="15368" width="10.7109375" style="115" customWidth="1"/>
    <col min="15369" max="15370" width="12.42578125" style="115" customWidth="1"/>
    <col min="15371" max="15371" width="10.7109375" style="115" customWidth="1"/>
    <col min="15372" max="15373" width="13.7109375" style="115" customWidth="1"/>
    <col min="15374" max="15374" width="11" style="115" customWidth="1"/>
    <col min="15375" max="15376" width="13.85546875" style="115" customWidth="1"/>
    <col min="15377" max="15377" width="17.42578125" style="115" customWidth="1"/>
    <col min="15378" max="15378" width="9.140625" style="115" customWidth="1"/>
    <col min="15379" max="15616" width="9.140625" style="115"/>
    <col min="15617" max="15617" width="5.28515625" style="115" customWidth="1"/>
    <col min="15618" max="15618" width="26.85546875" style="115" customWidth="1"/>
    <col min="15619" max="15619" width="11" style="115" customWidth="1"/>
    <col min="15620" max="15621" width="14.42578125" style="115" customWidth="1"/>
    <col min="15622" max="15623" width="9" style="115" customWidth="1"/>
    <col min="15624" max="15624" width="10.7109375" style="115" customWidth="1"/>
    <col min="15625" max="15626" width="12.42578125" style="115" customWidth="1"/>
    <col min="15627" max="15627" width="10.7109375" style="115" customWidth="1"/>
    <col min="15628" max="15629" width="13.7109375" style="115" customWidth="1"/>
    <col min="15630" max="15630" width="11" style="115" customWidth="1"/>
    <col min="15631" max="15632" width="13.85546875" style="115" customWidth="1"/>
    <col min="15633" max="15633" width="17.42578125" style="115" customWidth="1"/>
    <col min="15634" max="15634" width="9.140625" style="115" customWidth="1"/>
    <col min="15635" max="15872" width="9.140625" style="115"/>
    <col min="15873" max="15873" width="5.28515625" style="115" customWidth="1"/>
    <col min="15874" max="15874" width="26.85546875" style="115" customWidth="1"/>
    <col min="15875" max="15875" width="11" style="115" customWidth="1"/>
    <col min="15876" max="15877" width="14.42578125" style="115" customWidth="1"/>
    <col min="15878" max="15879" width="9" style="115" customWidth="1"/>
    <col min="15880" max="15880" width="10.7109375" style="115" customWidth="1"/>
    <col min="15881" max="15882" width="12.42578125" style="115" customWidth="1"/>
    <col min="15883" max="15883" width="10.7109375" style="115" customWidth="1"/>
    <col min="15884" max="15885" width="13.7109375" style="115" customWidth="1"/>
    <col min="15886" max="15886" width="11" style="115" customWidth="1"/>
    <col min="15887" max="15888" width="13.85546875" style="115" customWidth="1"/>
    <col min="15889" max="15889" width="17.42578125" style="115" customWidth="1"/>
    <col min="15890" max="15890" width="9.140625" style="115" customWidth="1"/>
    <col min="15891" max="16128" width="9.140625" style="115"/>
    <col min="16129" max="16129" width="5.28515625" style="115" customWidth="1"/>
    <col min="16130" max="16130" width="26.85546875" style="115" customWidth="1"/>
    <col min="16131" max="16131" width="11" style="115" customWidth="1"/>
    <col min="16132" max="16133" width="14.42578125" style="115" customWidth="1"/>
    <col min="16134" max="16135" width="9" style="115" customWidth="1"/>
    <col min="16136" max="16136" width="10.7109375" style="115" customWidth="1"/>
    <col min="16137" max="16138" width="12.42578125" style="115" customWidth="1"/>
    <col min="16139" max="16139" width="10.7109375" style="115" customWidth="1"/>
    <col min="16140" max="16141" width="13.7109375" style="115" customWidth="1"/>
    <col min="16142" max="16142" width="11" style="115" customWidth="1"/>
    <col min="16143" max="16144" width="13.85546875" style="115" customWidth="1"/>
    <col min="16145" max="16145" width="17.42578125" style="115" customWidth="1"/>
    <col min="16146" max="16146" width="9.140625" style="115" customWidth="1"/>
    <col min="16147" max="16384" width="9.140625" style="115"/>
  </cols>
  <sheetData>
    <row r="1" spans="1:17" ht="15" customHeight="1" x14ac:dyDescent="0.25">
      <c r="A1" s="706" t="s">
        <v>213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</row>
    <row r="2" spans="1:17" ht="27" customHeight="1" x14ac:dyDescent="0.25">
      <c r="A2" s="699" t="s">
        <v>15</v>
      </c>
      <c r="B2" s="699" t="s">
        <v>126</v>
      </c>
      <c r="C2" s="708" t="s">
        <v>214</v>
      </c>
      <c r="D2" s="709"/>
      <c r="E2" s="710"/>
      <c r="F2" s="699" t="s">
        <v>127</v>
      </c>
      <c r="G2" s="699" t="s">
        <v>128</v>
      </c>
      <c r="H2" s="711" t="s">
        <v>215</v>
      </c>
      <c r="I2" s="711"/>
      <c r="J2" s="711"/>
      <c r="K2" s="711"/>
      <c r="L2" s="711"/>
      <c r="M2" s="711"/>
      <c r="N2" s="711"/>
      <c r="O2" s="711"/>
      <c r="P2" s="711"/>
      <c r="Q2" s="699" t="s">
        <v>216</v>
      </c>
    </row>
    <row r="3" spans="1:17" ht="77.25" customHeight="1" x14ac:dyDescent="0.25">
      <c r="A3" s="707"/>
      <c r="B3" s="707"/>
      <c r="C3" s="707" t="s">
        <v>217</v>
      </c>
      <c r="D3" s="707" t="s">
        <v>218</v>
      </c>
      <c r="E3" s="699" t="s">
        <v>219</v>
      </c>
      <c r="F3" s="707"/>
      <c r="G3" s="707"/>
      <c r="H3" s="701" t="s">
        <v>134</v>
      </c>
      <c r="I3" s="702"/>
      <c r="J3" s="703"/>
      <c r="K3" s="701" t="s">
        <v>220</v>
      </c>
      <c r="L3" s="702"/>
      <c r="M3" s="703"/>
      <c r="N3" s="701" t="s">
        <v>135</v>
      </c>
      <c r="O3" s="702"/>
      <c r="P3" s="703"/>
      <c r="Q3" s="707"/>
    </row>
    <row r="4" spans="1:17" s="117" customFormat="1" ht="34.5" customHeight="1" x14ac:dyDescent="0.25">
      <c r="A4" s="700"/>
      <c r="B4" s="700"/>
      <c r="C4" s="700"/>
      <c r="D4" s="700"/>
      <c r="E4" s="700"/>
      <c r="F4" s="700"/>
      <c r="G4" s="700"/>
      <c r="H4" s="116" t="s">
        <v>127</v>
      </c>
      <c r="I4" s="116" t="s">
        <v>139</v>
      </c>
      <c r="J4" s="116" t="s">
        <v>221</v>
      </c>
      <c r="K4" s="116" t="s">
        <v>127</v>
      </c>
      <c r="L4" s="116" t="s">
        <v>139</v>
      </c>
      <c r="M4" s="116" t="s">
        <v>221</v>
      </c>
      <c r="N4" s="116" t="s">
        <v>127</v>
      </c>
      <c r="O4" s="116" t="s">
        <v>139</v>
      </c>
      <c r="P4" s="116" t="s">
        <v>221</v>
      </c>
      <c r="Q4" s="700"/>
    </row>
    <row r="5" spans="1:17" s="117" customFormat="1" ht="34.5" customHeight="1" x14ac:dyDescent="0.25">
      <c r="A5" s="118"/>
      <c r="B5" s="119" t="s">
        <v>222</v>
      </c>
      <c r="C5" s="120">
        <v>5</v>
      </c>
      <c r="D5" s="118">
        <v>10</v>
      </c>
      <c r="E5" s="118">
        <v>192</v>
      </c>
      <c r="F5" s="118">
        <v>1</v>
      </c>
      <c r="G5" s="118">
        <f>I5+L5+O5</f>
        <v>10</v>
      </c>
      <c r="H5" s="118">
        <v>0</v>
      </c>
      <c r="I5" s="118">
        <v>0</v>
      </c>
      <c r="J5" s="118">
        <v>0</v>
      </c>
      <c r="K5" s="118">
        <v>1</v>
      </c>
      <c r="L5" s="118">
        <v>10</v>
      </c>
      <c r="M5" s="118">
        <v>1.25</v>
      </c>
      <c r="N5" s="118">
        <v>0</v>
      </c>
      <c r="O5" s="118">
        <v>0</v>
      </c>
      <c r="P5" s="118">
        <v>0</v>
      </c>
      <c r="Q5" s="118">
        <v>0</v>
      </c>
    </row>
    <row r="6" spans="1:17" s="117" customFormat="1" ht="34.5" hidden="1" customHeight="1" x14ac:dyDescent="0.25">
      <c r="A6" s="118"/>
      <c r="B6" s="119"/>
      <c r="C6" s="121"/>
      <c r="D6" s="118"/>
      <c r="E6" s="118"/>
      <c r="F6" s="118">
        <v>0</v>
      </c>
      <c r="G6" s="118">
        <v>0</v>
      </c>
      <c r="H6" s="118"/>
      <c r="I6" s="118"/>
      <c r="J6" s="118"/>
      <c r="K6" s="118">
        <v>0</v>
      </c>
      <c r="L6" s="118">
        <v>0</v>
      </c>
      <c r="M6" s="118">
        <v>0</v>
      </c>
      <c r="N6" s="118"/>
      <c r="O6" s="118"/>
      <c r="P6" s="118"/>
      <c r="Q6" s="118"/>
    </row>
    <row r="7" spans="1:17" s="117" customFormat="1" ht="34.5" hidden="1" customHeight="1" x14ac:dyDescent="0.25">
      <c r="A7" s="118"/>
      <c r="B7" s="119"/>
      <c r="C7" s="121"/>
      <c r="D7" s="118"/>
      <c r="E7" s="118"/>
      <c r="F7" s="118">
        <f t="shared" ref="F7:G12" si="0">H7+K7+N7</f>
        <v>0</v>
      </c>
      <c r="G7" s="118">
        <f t="shared" si="0"/>
        <v>0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s="117" customFormat="1" ht="34.5" hidden="1" customHeight="1" x14ac:dyDescent="0.25">
      <c r="A8" s="118"/>
      <c r="B8" s="119"/>
      <c r="C8" s="121"/>
      <c r="D8" s="118"/>
      <c r="E8" s="118"/>
      <c r="F8" s="118">
        <f t="shared" si="0"/>
        <v>0</v>
      </c>
      <c r="G8" s="118">
        <f t="shared" si="0"/>
        <v>0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s="117" customFormat="1" ht="34.5" hidden="1" customHeight="1" x14ac:dyDescent="0.25">
      <c r="A9" s="118"/>
      <c r="B9" s="119"/>
      <c r="C9" s="121"/>
      <c r="D9" s="118"/>
      <c r="E9" s="118"/>
      <c r="F9" s="118">
        <f t="shared" si="0"/>
        <v>0</v>
      </c>
      <c r="G9" s="118">
        <f t="shared" si="0"/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s="117" customFormat="1" ht="34.5" hidden="1" customHeight="1" x14ac:dyDescent="0.25">
      <c r="A10" s="118"/>
      <c r="B10" s="119"/>
      <c r="C10" s="121"/>
      <c r="D10" s="118"/>
      <c r="E10" s="118"/>
      <c r="F10" s="118">
        <f t="shared" si="0"/>
        <v>0</v>
      </c>
      <c r="G10" s="118">
        <f t="shared" si="0"/>
        <v>0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s="117" customFormat="1" ht="34.5" hidden="1" customHeight="1" x14ac:dyDescent="0.25">
      <c r="A11" s="118"/>
      <c r="B11" s="119"/>
      <c r="C11" s="121"/>
      <c r="D11" s="118"/>
      <c r="E11" s="118"/>
      <c r="F11" s="118">
        <f t="shared" si="0"/>
        <v>0</v>
      </c>
      <c r="G11" s="118">
        <f t="shared" si="0"/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s="117" customFormat="1" ht="34.5" hidden="1" customHeight="1" x14ac:dyDescent="0.25">
      <c r="A12" s="118"/>
      <c r="B12" s="119"/>
      <c r="C12" s="121"/>
      <c r="D12" s="118"/>
      <c r="E12" s="118"/>
      <c r="F12" s="118">
        <f t="shared" si="0"/>
        <v>0</v>
      </c>
      <c r="G12" s="118">
        <f t="shared" si="0"/>
        <v>0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s="117" customFormat="1" ht="34.5" hidden="1" customHeight="1" x14ac:dyDescent="0.25">
      <c r="A13" s="118"/>
      <c r="B13" s="119"/>
      <c r="C13" s="121"/>
      <c r="D13" s="118"/>
      <c r="E13" s="118"/>
      <c r="F13" s="118">
        <f>H13+K13+N13</f>
        <v>0</v>
      </c>
      <c r="G13" s="118">
        <f>I13+L13+O13</f>
        <v>0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x14ac:dyDescent="0.25">
      <c r="A14" s="122"/>
      <c r="B14" s="123" t="s">
        <v>115</v>
      </c>
      <c r="C14" s="124"/>
      <c r="D14" s="123"/>
      <c r="E14" s="123"/>
      <c r="F14" s="123">
        <f>SUM(F5:F13)</f>
        <v>1</v>
      </c>
      <c r="G14" s="123">
        <f t="shared" ref="G14:Q14" si="1">SUM(G5:G13)</f>
        <v>10</v>
      </c>
      <c r="H14" s="123">
        <f t="shared" si="1"/>
        <v>0</v>
      </c>
      <c r="I14" s="123">
        <f t="shared" si="1"/>
        <v>0</v>
      </c>
      <c r="J14" s="123">
        <f t="shared" si="1"/>
        <v>0</v>
      </c>
      <c r="K14" s="123">
        <f t="shared" si="1"/>
        <v>1</v>
      </c>
      <c r="L14" s="123">
        <f t="shared" si="1"/>
        <v>10</v>
      </c>
      <c r="M14" s="123">
        <f t="shared" si="1"/>
        <v>1.25</v>
      </c>
      <c r="N14" s="123">
        <f t="shared" si="1"/>
        <v>0</v>
      </c>
      <c r="O14" s="123">
        <f t="shared" si="1"/>
        <v>0</v>
      </c>
      <c r="P14" s="123">
        <f t="shared" si="1"/>
        <v>0</v>
      </c>
      <c r="Q14" s="123">
        <f t="shared" si="1"/>
        <v>0</v>
      </c>
    </row>
    <row r="16" spans="1:17" x14ac:dyDescent="0.25">
      <c r="B16" s="704" t="s">
        <v>208</v>
      </c>
      <c r="C16" s="704"/>
      <c r="D16" s="125" t="s">
        <v>209</v>
      </c>
      <c r="E16" s="125"/>
      <c r="F16" s="125"/>
      <c r="G16" s="126"/>
      <c r="L16" s="705" t="s">
        <v>223</v>
      </c>
      <c r="M16" s="705"/>
      <c r="N16" s="705"/>
      <c r="O16" s="705"/>
      <c r="P16" s="127"/>
    </row>
    <row r="17" spans="2:16" ht="12" customHeight="1" x14ac:dyDescent="0.25">
      <c r="B17" s="128"/>
      <c r="C17" s="128"/>
      <c r="D17" s="697" t="s">
        <v>211</v>
      </c>
      <c r="E17" s="697"/>
      <c r="F17" s="697"/>
      <c r="H17" s="697" t="s">
        <v>224</v>
      </c>
      <c r="I17" s="697"/>
      <c r="J17" s="129"/>
      <c r="L17" s="698" t="s">
        <v>164</v>
      </c>
      <c r="M17" s="698"/>
      <c r="N17" s="698"/>
      <c r="O17" s="698"/>
      <c r="P17" s="130"/>
    </row>
  </sheetData>
  <mergeCells count="19">
    <mergeCell ref="B16:C16"/>
    <mergeCell ref="L16:O16"/>
    <mergeCell ref="A1:Q1"/>
    <mergeCell ref="A2:A4"/>
    <mergeCell ref="B2:B4"/>
    <mergeCell ref="C2:E2"/>
    <mergeCell ref="F2:F4"/>
    <mergeCell ref="G2:G4"/>
    <mergeCell ref="H2:P2"/>
    <mergeCell ref="Q2:Q4"/>
    <mergeCell ref="C3:C4"/>
    <mergeCell ref="D3:D4"/>
    <mergeCell ref="D17:F17"/>
    <mergeCell ref="H17:I17"/>
    <mergeCell ref="L17:O17"/>
    <mergeCell ref="E3:E4"/>
    <mergeCell ref="H3:J3"/>
    <mergeCell ref="K3:M3"/>
    <mergeCell ref="N3:P3"/>
  </mergeCell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A1:H37"/>
  <sheetViews>
    <sheetView view="pageBreakPreview" zoomScaleNormal="100" zoomScaleSheetLayoutView="100" workbookViewId="0">
      <selection activeCell="CL134" sqref="CL134:DA134"/>
    </sheetView>
  </sheetViews>
  <sheetFormatPr defaultColWidth="9.140625" defaultRowHeight="15" x14ac:dyDescent="0.25"/>
  <cols>
    <col min="1" max="1" width="3.5703125" style="404" bestFit="1" customWidth="1"/>
    <col min="2" max="2" width="58.7109375" style="404" bestFit="1" customWidth="1"/>
    <col min="3" max="3" width="13.42578125" style="404" bestFit="1" customWidth="1"/>
    <col min="4" max="4" width="12.42578125" style="404" customWidth="1"/>
    <col min="5" max="7" width="9.140625" style="404"/>
    <col min="8" max="8" width="3.5703125" style="404" bestFit="1" customWidth="1"/>
    <col min="9" max="16384" width="9.140625" style="404"/>
  </cols>
  <sheetData>
    <row r="1" spans="1:8" s="440" customFormat="1" ht="58.5" customHeight="1" x14ac:dyDescent="0.2">
      <c r="A1" s="712" t="s">
        <v>843</v>
      </c>
      <c r="B1" s="712"/>
      <c r="C1" s="712"/>
      <c r="D1" s="712"/>
      <c r="H1" s="441"/>
    </row>
    <row r="2" spans="1:8" s="442" customFormat="1" x14ac:dyDescent="0.25">
      <c r="H2" s="443"/>
    </row>
    <row r="3" spans="1:8" s="442" customFormat="1" ht="55.5" customHeight="1" x14ac:dyDescent="0.25">
      <c r="A3" s="444" t="s">
        <v>146</v>
      </c>
      <c r="B3" s="444" t="s">
        <v>518</v>
      </c>
      <c r="C3" s="444" t="s">
        <v>519</v>
      </c>
      <c r="D3" s="444" t="s">
        <v>520</v>
      </c>
      <c r="H3" s="443"/>
    </row>
    <row r="4" spans="1:8" s="443" customFormat="1" ht="12.75" x14ac:dyDescent="0.2">
      <c r="A4" s="445">
        <v>1</v>
      </c>
      <c r="B4" s="445"/>
      <c r="C4" s="445">
        <v>3</v>
      </c>
      <c r="D4" s="445">
        <v>4</v>
      </c>
    </row>
    <row r="5" spans="1:8" s="442" customFormat="1" ht="15" customHeight="1" x14ac:dyDescent="0.25">
      <c r="A5" s="446" t="s">
        <v>521</v>
      </c>
      <c r="B5" s="447" t="s">
        <v>522</v>
      </c>
      <c r="C5" s="448" t="s">
        <v>487</v>
      </c>
      <c r="D5" s="448"/>
      <c r="H5" s="443"/>
    </row>
    <row r="6" spans="1:8" s="443" customFormat="1" ht="12.75" customHeight="1" x14ac:dyDescent="0.2">
      <c r="A6" s="719" t="s">
        <v>523</v>
      </c>
      <c r="B6" s="449" t="s">
        <v>215</v>
      </c>
      <c r="C6" s="720">
        <f>ФОТ!AC46-ФОТ!AC45</f>
        <v>23781949.440800004</v>
      </c>
      <c r="D6" s="716">
        <f>C6*22%</f>
        <v>5232028.8769760011</v>
      </c>
      <c r="H6" s="450"/>
    </row>
    <row r="7" spans="1:8" s="443" customFormat="1" ht="12.75" customHeight="1" x14ac:dyDescent="0.2">
      <c r="A7" s="719"/>
      <c r="B7" s="451" t="s">
        <v>524</v>
      </c>
      <c r="C7" s="721"/>
      <c r="D7" s="716"/>
    </row>
    <row r="8" spans="1:8" s="443" customFormat="1" ht="13.5" customHeight="1" x14ac:dyDescent="0.2">
      <c r="A8" s="446" t="s">
        <v>525</v>
      </c>
      <c r="B8" s="452" t="s">
        <v>526</v>
      </c>
      <c r="C8" s="448"/>
      <c r="D8" s="448"/>
    </row>
    <row r="9" spans="1:8" s="443" customFormat="1" ht="26.25" customHeight="1" x14ac:dyDescent="0.2">
      <c r="A9" s="446" t="s">
        <v>527</v>
      </c>
      <c r="B9" s="452" t="s">
        <v>528</v>
      </c>
      <c r="C9" s="448"/>
      <c r="D9" s="448"/>
    </row>
    <row r="10" spans="1:8" s="443" customFormat="1" ht="26.25" customHeight="1" x14ac:dyDescent="0.2">
      <c r="A10" s="446" t="s">
        <v>529</v>
      </c>
      <c r="B10" s="447" t="s">
        <v>530</v>
      </c>
      <c r="C10" s="448" t="s">
        <v>487</v>
      </c>
      <c r="D10" s="448"/>
    </row>
    <row r="11" spans="1:8" s="443" customFormat="1" ht="12.75" customHeight="1" x14ac:dyDescent="0.2">
      <c r="A11" s="719" t="s">
        <v>531</v>
      </c>
      <c r="B11" s="449" t="s">
        <v>215</v>
      </c>
      <c r="C11" s="716">
        <f>C6</f>
        <v>23781949.440800004</v>
      </c>
      <c r="D11" s="716">
        <f>C11*2.9%</f>
        <v>689676.53378320008</v>
      </c>
    </row>
    <row r="12" spans="1:8" s="443" customFormat="1" ht="25.5" customHeight="1" x14ac:dyDescent="0.2">
      <c r="A12" s="719"/>
      <c r="B12" s="451" t="s">
        <v>532</v>
      </c>
      <c r="C12" s="722"/>
      <c r="D12" s="716"/>
    </row>
    <row r="13" spans="1:8" s="443" customFormat="1" ht="26.25" customHeight="1" x14ac:dyDescent="0.2">
      <c r="A13" s="446" t="s">
        <v>533</v>
      </c>
      <c r="B13" s="452" t="s">
        <v>534</v>
      </c>
      <c r="C13" s="448"/>
      <c r="D13" s="448"/>
    </row>
    <row r="14" spans="1:8" s="443" customFormat="1" ht="27" customHeight="1" x14ac:dyDescent="0.2">
      <c r="A14" s="446" t="s">
        <v>535</v>
      </c>
      <c r="B14" s="452" t="s">
        <v>536</v>
      </c>
      <c r="C14" s="453">
        <f>C6</f>
        <v>23781949.440800004</v>
      </c>
      <c r="D14" s="453">
        <f>C14*0.2%</f>
        <v>47563.898881600006</v>
      </c>
    </row>
    <row r="15" spans="1:8" s="443" customFormat="1" ht="27" customHeight="1" x14ac:dyDescent="0.2">
      <c r="A15" s="446" t="s">
        <v>537</v>
      </c>
      <c r="B15" s="452" t="s">
        <v>538</v>
      </c>
      <c r="C15" s="448"/>
      <c r="D15" s="448"/>
    </row>
    <row r="16" spans="1:8" s="443" customFormat="1" ht="27" customHeight="1" x14ac:dyDescent="0.2">
      <c r="A16" s="446" t="s">
        <v>539</v>
      </c>
      <c r="B16" s="452" t="s">
        <v>538</v>
      </c>
      <c r="C16" s="448"/>
      <c r="D16" s="448"/>
    </row>
    <row r="17" spans="1:4" s="443" customFormat="1" ht="26.25" customHeight="1" x14ac:dyDescent="0.2">
      <c r="A17" s="446" t="s">
        <v>540</v>
      </c>
      <c r="B17" s="447" t="s">
        <v>541</v>
      </c>
      <c r="C17" s="454">
        <f>C6</f>
        <v>23781949.440800004</v>
      </c>
      <c r="D17" s="454">
        <f>C17*5.1%</f>
        <v>1212879.4214808</v>
      </c>
    </row>
    <row r="18" spans="1:4" s="443" customFormat="1" ht="13.5" customHeight="1" x14ac:dyDescent="0.2">
      <c r="A18" s="446"/>
      <c r="B18" s="455"/>
      <c r="C18" s="456" t="s">
        <v>487</v>
      </c>
      <c r="D18" s="457">
        <f>SUM(D6:D17)</f>
        <v>7182148.7311216015</v>
      </c>
    </row>
    <row r="20" spans="1:4" ht="60" customHeight="1" x14ac:dyDescent="0.25">
      <c r="A20" s="712" t="s">
        <v>844</v>
      </c>
      <c r="B20" s="712"/>
      <c r="C20" s="712"/>
      <c r="D20" s="712"/>
    </row>
    <row r="21" spans="1:4" x14ac:dyDescent="0.25">
      <c r="A21" s="442"/>
      <c r="B21" s="442"/>
      <c r="C21" s="442"/>
      <c r="D21" s="442"/>
    </row>
    <row r="22" spans="1:4" ht="51" x14ac:dyDescent="0.25">
      <c r="A22" s="444" t="s">
        <v>146</v>
      </c>
      <c r="B22" s="444" t="s">
        <v>518</v>
      </c>
      <c r="C22" s="444" t="s">
        <v>519</v>
      </c>
      <c r="D22" s="444" t="s">
        <v>520</v>
      </c>
    </row>
    <row r="23" spans="1:4" x14ac:dyDescent="0.25">
      <c r="A23" s="445">
        <v>1</v>
      </c>
      <c r="B23" s="445"/>
      <c r="C23" s="445">
        <v>3</v>
      </c>
      <c r="D23" s="445">
        <v>4</v>
      </c>
    </row>
    <row r="24" spans="1:4" x14ac:dyDescent="0.25">
      <c r="A24" s="446" t="s">
        <v>521</v>
      </c>
      <c r="B24" s="458" t="s">
        <v>522</v>
      </c>
      <c r="C24" s="448" t="s">
        <v>487</v>
      </c>
      <c r="D24" s="448"/>
    </row>
    <row r="25" spans="1:4" x14ac:dyDescent="0.25">
      <c r="A25" s="713" t="s">
        <v>523</v>
      </c>
      <c r="B25" s="449" t="s">
        <v>215</v>
      </c>
      <c r="C25" s="714">
        <f>ФОТ!AC45</f>
        <v>417086.48280000011</v>
      </c>
      <c r="D25" s="716">
        <f>C25*22%</f>
        <v>91759.026216000027</v>
      </c>
    </row>
    <row r="26" spans="1:4" x14ac:dyDescent="0.25">
      <c r="A26" s="713"/>
      <c r="B26" s="451" t="s">
        <v>524</v>
      </c>
      <c r="C26" s="715"/>
      <c r="D26" s="716"/>
    </row>
    <row r="27" spans="1:4" x14ac:dyDescent="0.25">
      <c r="A27" s="446" t="s">
        <v>525</v>
      </c>
      <c r="B27" s="459" t="s">
        <v>526</v>
      </c>
      <c r="C27" s="448"/>
      <c r="D27" s="448"/>
    </row>
    <row r="28" spans="1:4" ht="25.5" x14ac:dyDescent="0.25">
      <c r="A28" s="446" t="s">
        <v>527</v>
      </c>
      <c r="B28" s="452" t="s">
        <v>528</v>
      </c>
      <c r="C28" s="448"/>
      <c r="D28" s="448"/>
    </row>
    <row r="29" spans="1:4" ht="25.5" x14ac:dyDescent="0.25">
      <c r="A29" s="446" t="s">
        <v>529</v>
      </c>
      <c r="B29" s="458" t="s">
        <v>530</v>
      </c>
      <c r="C29" s="448" t="s">
        <v>487</v>
      </c>
      <c r="D29" s="448"/>
    </row>
    <row r="30" spans="1:4" x14ac:dyDescent="0.25">
      <c r="A30" s="713" t="s">
        <v>531</v>
      </c>
      <c r="B30" s="449" t="s">
        <v>215</v>
      </c>
      <c r="C30" s="717">
        <f>C25</f>
        <v>417086.48280000011</v>
      </c>
      <c r="D30" s="716">
        <f>C30*2.9%</f>
        <v>12095.508001200002</v>
      </c>
    </row>
    <row r="31" spans="1:4" ht="25.5" x14ac:dyDescent="0.25">
      <c r="A31" s="713"/>
      <c r="B31" s="451" t="s">
        <v>532</v>
      </c>
      <c r="C31" s="718"/>
      <c r="D31" s="716"/>
    </row>
    <row r="32" spans="1:4" ht="25.5" x14ac:dyDescent="0.25">
      <c r="A32" s="446" t="s">
        <v>533</v>
      </c>
      <c r="B32" s="459" t="s">
        <v>534</v>
      </c>
      <c r="C32" s="448"/>
      <c r="D32" s="448"/>
    </row>
    <row r="33" spans="1:4" ht="25.5" x14ac:dyDescent="0.25">
      <c r="A33" s="446" t="s">
        <v>535</v>
      </c>
      <c r="B33" s="452" t="s">
        <v>536</v>
      </c>
      <c r="C33" s="453">
        <f>C25</f>
        <v>417086.48280000011</v>
      </c>
      <c r="D33" s="453">
        <f>C33*0.2%</f>
        <v>834.17296560000023</v>
      </c>
    </row>
    <row r="34" spans="1:4" ht="25.5" x14ac:dyDescent="0.25">
      <c r="A34" s="446" t="s">
        <v>537</v>
      </c>
      <c r="B34" s="452" t="s">
        <v>538</v>
      </c>
      <c r="C34" s="448"/>
      <c r="D34" s="448"/>
    </row>
    <row r="35" spans="1:4" ht="25.5" x14ac:dyDescent="0.25">
      <c r="A35" s="446" t="s">
        <v>539</v>
      </c>
      <c r="B35" s="452" t="s">
        <v>538</v>
      </c>
      <c r="C35" s="448"/>
      <c r="D35" s="448"/>
    </row>
    <row r="36" spans="1:4" ht="25.5" x14ac:dyDescent="0.25">
      <c r="A36" s="446" t="s">
        <v>540</v>
      </c>
      <c r="B36" s="447" t="s">
        <v>541</v>
      </c>
      <c r="C36" s="454">
        <f>C25</f>
        <v>417086.48280000011</v>
      </c>
      <c r="D36" s="454">
        <f>C36*5.1%</f>
        <v>21271.410622800006</v>
      </c>
    </row>
    <row r="37" spans="1:4" x14ac:dyDescent="0.25">
      <c r="A37" s="446"/>
      <c r="B37" s="455"/>
      <c r="C37" s="456" t="s">
        <v>487</v>
      </c>
      <c r="D37" s="457">
        <f>SUM(D25:D36)</f>
        <v>125960.11780560002</v>
      </c>
    </row>
  </sheetData>
  <mergeCells count="14">
    <mergeCell ref="A1:D1"/>
    <mergeCell ref="A6:A7"/>
    <mergeCell ref="C6:C7"/>
    <mergeCell ref="D6:D7"/>
    <mergeCell ref="A11:A12"/>
    <mergeCell ref="C11:C12"/>
    <mergeCell ref="D11:D12"/>
    <mergeCell ref="A20:D20"/>
    <mergeCell ref="A25:A26"/>
    <mergeCell ref="C25:C26"/>
    <mergeCell ref="D25:D26"/>
    <mergeCell ref="A30:A31"/>
    <mergeCell ref="C30:C31"/>
    <mergeCell ref="D30:D31"/>
  </mergeCells>
  <pageMargins left="0.7" right="0.7" top="0.75" bottom="0.75" header="0.3" footer="0.3"/>
  <pageSetup paperSize="9" scale="85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view="pageBreakPreview" zoomScaleNormal="100" zoomScaleSheetLayoutView="100" workbookViewId="0">
      <selection sqref="A1:N1"/>
    </sheetView>
  </sheetViews>
  <sheetFormatPr defaultColWidth="9.140625" defaultRowHeight="15" x14ac:dyDescent="0.25"/>
  <cols>
    <col min="1" max="1" width="21.5703125" style="352" customWidth="1"/>
    <col min="2" max="5" width="9.140625" style="352"/>
    <col min="6" max="6" width="10.5703125" style="352" customWidth="1"/>
    <col min="7" max="7" width="11.7109375" style="352" customWidth="1"/>
    <col min="8" max="8" width="9.28515625" style="352" customWidth="1"/>
    <col min="9" max="10" width="9.140625" style="352"/>
    <col min="11" max="11" width="9" style="352" customWidth="1"/>
    <col min="12" max="12" width="12.28515625" style="352" customWidth="1"/>
    <col min="13" max="13" width="12.85546875" style="352" bestFit="1" customWidth="1"/>
    <col min="14" max="14" width="13.42578125" style="352" bestFit="1" customWidth="1"/>
    <col min="15" max="16384" width="9.140625" style="352"/>
  </cols>
  <sheetData>
    <row r="1" spans="1:14" x14ac:dyDescent="0.25">
      <c r="A1" s="723" t="s">
        <v>845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</row>
    <row r="2" spans="1:14" ht="47.25" customHeight="1" x14ac:dyDescent="0.25">
      <c r="B2" s="724" t="s">
        <v>846</v>
      </c>
      <c r="C2" s="724" t="s">
        <v>47</v>
      </c>
      <c r="D2" s="726" t="s">
        <v>48</v>
      </c>
      <c r="E2" s="726"/>
      <c r="F2" s="726"/>
      <c r="G2" s="727" t="s">
        <v>49</v>
      </c>
      <c r="H2" s="727"/>
      <c r="I2" s="727" t="s">
        <v>50</v>
      </c>
      <c r="J2" s="727"/>
      <c r="K2" s="727"/>
      <c r="L2" s="727" t="s">
        <v>51</v>
      </c>
      <c r="M2" s="727"/>
      <c r="N2" s="728" t="s">
        <v>52</v>
      </c>
    </row>
    <row r="3" spans="1:14" ht="102" x14ac:dyDescent="0.25">
      <c r="B3" s="725"/>
      <c r="C3" s="725"/>
      <c r="D3" s="347" t="s">
        <v>53</v>
      </c>
      <c r="E3" s="348" t="s">
        <v>54</v>
      </c>
      <c r="F3" s="348" t="s">
        <v>55</v>
      </c>
      <c r="G3" s="348" t="s">
        <v>56</v>
      </c>
      <c r="H3" s="348" t="s">
        <v>55</v>
      </c>
      <c r="I3" s="348" t="s">
        <v>57</v>
      </c>
      <c r="J3" s="19" t="s">
        <v>40</v>
      </c>
      <c r="K3" s="348" t="s">
        <v>55</v>
      </c>
      <c r="L3" s="19" t="s">
        <v>58</v>
      </c>
      <c r="M3" s="348" t="s">
        <v>55</v>
      </c>
      <c r="N3" s="728"/>
    </row>
    <row r="4" spans="1:14" x14ac:dyDescent="0.25">
      <c r="A4" s="354" t="s">
        <v>16</v>
      </c>
      <c r="B4" s="364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1:14" x14ac:dyDescent="0.25">
      <c r="A5" s="354" t="s">
        <v>3</v>
      </c>
      <c r="B5" s="364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6" spans="1:14" x14ac:dyDescent="0.25">
      <c r="A6" s="354" t="s">
        <v>5</v>
      </c>
      <c r="B6" s="364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</row>
    <row r="8" spans="1:14" x14ac:dyDescent="0.25">
      <c r="A8" s="391" t="s">
        <v>847</v>
      </c>
    </row>
  </sheetData>
  <mergeCells count="8">
    <mergeCell ref="A1:N1"/>
    <mergeCell ref="B2:B3"/>
    <mergeCell ref="C2:C3"/>
    <mergeCell ref="D2:F2"/>
    <mergeCell ref="G2:H2"/>
    <mergeCell ref="I2:K2"/>
    <mergeCell ref="L2:M2"/>
    <mergeCell ref="N2:N3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view="pageBreakPreview" zoomScaleNormal="100" zoomScaleSheetLayoutView="100" workbookViewId="0">
      <selection sqref="A1:N1"/>
    </sheetView>
  </sheetViews>
  <sheetFormatPr defaultColWidth="9.140625" defaultRowHeight="15" x14ac:dyDescent="0.25"/>
  <cols>
    <col min="1" max="1" width="28.85546875" style="352" customWidth="1"/>
    <col min="2" max="6" width="9.140625" style="352"/>
    <col min="7" max="7" width="6.7109375" style="352" bestFit="1" customWidth="1"/>
    <col min="8" max="8" width="11.7109375" style="352" customWidth="1"/>
    <col min="9" max="9" width="11" style="352" customWidth="1"/>
    <col min="10" max="11" width="9.140625" style="352"/>
    <col min="12" max="12" width="12.85546875" style="352" bestFit="1" customWidth="1"/>
    <col min="13" max="13" width="13.42578125" style="352" bestFit="1" customWidth="1"/>
    <col min="14" max="16384" width="9.140625" style="352"/>
  </cols>
  <sheetData>
    <row r="1" spans="1:13" x14ac:dyDescent="0.25">
      <c r="A1" s="723" t="s">
        <v>388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</row>
    <row r="2" spans="1:13" ht="47.25" customHeight="1" x14ac:dyDescent="0.25">
      <c r="B2" s="724" t="s">
        <v>59</v>
      </c>
      <c r="C2" s="724" t="s">
        <v>60</v>
      </c>
      <c r="D2" s="726" t="s">
        <v>61</v>
      </c>
      <c r="E2" s="726" t="s">
        <v>48</v>
      </c>
      <c r="F2" s="726"/>
      <c r="G2" s="726"/>
      <c r="H2" s="727" t="s">
        <v>49</v>
      </c>
      <c r="I2" s="727"/>
      <c r="J2" s="727" t="s">
        <v>50</v>
      </c>
      <c r="K2" s="727"/>
      <c r="L2" s="727"/>
      <c r="M2" s="728" t="s">
        <v>52</v>
      </c>
    </row>
    <row r="3" spans="1:13" ht="102" x14ac:dyDescent="0.25">
      <c r="B3" s="725"/>
      <c r="C3" s="725"/>
      <c r="D3" s="726"/>
      <c r="E3" s="347" t="s">
        <v>53</v>
      </c>
      <c r="F3" s="348" t="s">
        <v>54</v>
      </c>
      <c r="G3" s="348" t="s">
        <v>55</v>
      </c>
      <c r="H3" s="348" t="s">
        <v>56</v>
      </c>
      <c r="I3" s="348" t="s">
        <v>55</v>
      </c>
      <c r="J3" s="348" t="s">
        <v>57</v>
      </c>
      <c r="K3" s="19" t="s">
        <v>40</v>
      </c>
      <c r="L3" s="348" t="s">
        <v>55</v>
      </c>
      <c r="M3" s="728"/>
    </row>
    <row r="4" spans="1:13" x14ac:dyDescent="0.25">
      <c r="A4" s="354" t="s">
        <v>16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</row>
    <row r="5" spans="1:13" x14ac:dyDescent="0.25">
      <c r="A5" s="354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</row>
    <row r="6" spans="1:13" x14ac:dyDescent="0.25">
      <c r="A6" s="354" t="s">
        <v>5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</row>
    <row r="8" spans="1:13" x14ac:dyDescent="0.25">
      <c r="A8" s="391" t="s">
        <v>847</v>
      </c>
    </row>
  </sheetData>
  <mergeCells count="8">
    <mergeCell ref="A1:M1"/>
    <mergeCell ref="B2:B3"/>
    <mergeCell ref="C2:C3"/>
    <mergeCell ref="D2:D3"/>
    <mergeCell ref="E2:G2"/>
    <mergeCell ref="H2:I2"/>
    <mergeCell ref="J2:L2"/>
    <mergeCell ref="M2:M3"/>
  </mergeCells>
  <pageMargins left="0.7" right="0.7" top="0.75" bottom="0.75" header="0.3" footer="0.3"/>
  <pageSetup paperSize="9" scale="80" orientation="landscape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249977111117893"/>
  </sheetPr>
  <dimension ref="A1:P13"/>
  <sheetViews>
    <sheetView view="pageBreakPreview" zoomScaleSheetLayoutView="100" workbookViewId="0">
      <selection activeCell="CL134" sqref="CL134:DA134"/>
    </sheetView>
  </sheetViews>
  <sheetFormatPr defaultColWidth="8.85546875" defaultRowHeight="15" x14ac:dyDescent="0.25"/>
  <cols>
    <col min="1" max="1" width="15.85546875" style="20" bestFit="1" customWidth="1"/>
    <col min="2" max="2" width="7.140625" style="20" bestFit="1" customWidth="1"/>
    <col min="3" max="3" width="14.140625" style="20" customWidth="1"/>
    <col min="4" max="4" width="15" style="20" customWidth="1"/>
    <col min="5" max="5" width="8.85546875" style="20"/>
    <col min="6" max="6" width="9.42578125" style="20" bestFit="1" customWidth="1"/>
    <col min="7" max="7" width="15.85546875" style="20" customWidth="1"/>
    <col min="8" max="8" width="7.140625" style="20" bestFit="1" customWidth="1"/>
    <col min="9" max="9" width="8.85546875" style="20"/>
    <col min="10" max="10" width="15.85546875" style="20" customWidth="1"/>
    <col min="11" max="11" width="10.140625" style="20" bestFit="1" customWidth="1"/>
    <col min="12" max="12" width="16.42578125" style="20" customWidth="1"/>
    <col min="13" max="13" width="9.140625" style="20" bestFit="1" customWidth="1"/>
    <col min="14" max="14" width="14.7109375" style="20" customWidth="1"/>
    <col min="15" max="15" width="16.85546875" style="20" customWidth="1"/>
    <col min="16" max="16" width="13.85546875" style="20" bestFit="1" customWidth="1"/>
    <col min="17" max="16384" width="8.85546875" style="20"/>
  </cols>
  <sheetData>
    <row r="1" spans="1:16" ht="16.5" x14ac:dyDescent="0.25">
      <c r="B1" s="729" t="s">
        <v>74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</row>
    <row r="2" spans="1:16" x14ac:dyDescent="0.25">
      <c r="B2" s="730"/>
      <c r="C2" s="730"/>
      <c r="D2" s="730"/>
      <c r="E2" s="730"/>
      <c r="F2" s="730"/>
    </row>
    <row r="3" spans="1:16" ht="30" x14ac:dyDescent="0.25">
      <c r="A3" s="731"/>
      <c r="B3" s="732" t="s">
        <v>75</v>
      </c>
      <c r="C3" s="732"/>
      <c r="D3" s="732"/>
      <c r="E3" s="733" t="s">
        <v>76</v>
      </c>
      <c r="F3" s="733"/>
      <c r="G3" s="733"/>
      <c r="H3" s="733" t="s">
        <v>77</v>
      </c>
      <c r="I3" s="733"/>
      <c r="J3" s="733"/>
      <c r="K3" s="21" t="s">
        <v>848</v>
      </c>
      <c r="L3" s="22" t="s">
        <v>78</v>
      </c>
      <c r="M3" s="733" t="s">
        <v>79</v>
      </c>
      <c r="N3" s="733"/>
      <c r="O3" s="733"/>
      <c r="P3" s="732" t="s">
        <v>80</v>
      </c>
    </row>
    <row r="4" spans="1:16" ht="29.25" customHeight="1" x14ac:dyDescent="0.25">
      <c r="A4" s="731"/>
      <c r="B4" s="23" t="s">
        <v>81</v>
      </c>
      <c r="C4" s="25" t="s">
        <v>225</v>
      </c>
      <c r="D4" s="23" t="s">
        <v>72</v>
      </c>
      <c r="E4" s="23" t="s">
        <v>81</v>
      </c>
      <c r="F4" s="22" t="s">
        <v>225</v>
      </c>
      <c r="G4" s="23" t="s">
        <v>72</v>
      </c>
      <c r="H4" s="23" t="s">
        <v>81</v>
      </c>
      <c r="I4" s="22" t="s">
        <v>225</v>
      </c>
      <c r="J4" s="23" t="s">
        <v>72</v>
      </c>
      <c r="K4" s="23" t="s">
        <v>18</v>
      </c>
      <c r="L4" s="23" t="s">
        <v>72</v>
      </c>
      <c r="M4" s="23" t="s">
        <v>81</v>
      </c>
      <c r="N4" s="22" t="s">
        <v>225</v>
      </c>
      <c r="O4" s="23" t="s">
        <v>72</v>
      </c>
      <c r="P4" s="732"/>
    </row>
    <row r="5" spans="1:16" x14ac:dyDescent="0.25">
      <c r="A5" s="23" t="s">
        <v>16</v>
      </c>
      <c r="B5" s="10">
        <v>1</v>
      </c>
      <c r="C5" s="41">
        <v>2880</v>
      </c>
      <c r="D5" s="25">
        <f>B5*C5*12</f>
        <v>34560</v>
      </c>
      <c r="E5" s="10">
        <v>250</v>
      </c>
      <c r="F5" s="41">
        <v>8.23</v>
      </c>
      <c r="G5" s="24">
        <f>E5*F5</f>
        <v>2057.5</v>
      </c>
      <c r="H5" s="10">
        <v>2000</v>
      </c>
      <c r="I5" s="41">
        <v>3.6</v>
      </c>
      <c r="J5" s="41">
        <f t="shared" ref="J5:J7" si="0">H5*I5</f>
        <v>7200</v>
      </c>
      <c r="K5" s="41">
        <v>7780</v>
      </c>
      <c r="L5" s="41">
        <v>5000</v>
      </c>
      <c r="M5" s="10">
        <v>2</v>
      </c>
      <c r="N5" s="41">
        <v>13360</v>
      </c>
      <c r="O5" s="41">
        <f t="shared" ref="O5:O7" si="1">M5*N5*11</f>
        <v>293920</v>
      </c>
      <c r="P5" s="24">
        <f>(D5+G5+J5+O5+K5+L5)</f>
        <v>350517.5</v>
      </c>
    </row>
    <row r="6" spans="1:16" x14ac:dyDescent="0.25">
      <c r="A6" s="23" t="s">
        <v>3</v>
      </c>
      <c r="B6" s="10">
        <v>1</v>
      </c>
      <c r="C6" s="41">
        <v>2880</v>
      </c>
      <c r="D6" s="25">
        <f t="shared" ref="D6:D7" si="2">B6*C6*12</f>
        <v>34560</v>
      </c>
      <c r="E6" s="10">
        <v>250</v>
      </c>
      <c r="F6" s="41">
        <v>8.23</v>
      </c>
      <c r="G6" s="24">
        <f t="shared" ref="G6:G7" si="3">E6*F6</f>
        <v>2057.5</v>
      </c>
      <c r="H6" s="10">
        <v>2000</v>
      </c>
      <c r="I6" s="41">
        <v>3.6</v>
      </c>
      <c r="J6" s="41">
        <f t="shared" si="0"/>
        <v>7200</v>
      </c>
      <c r="K6" s="41">
        <v>7780</v>
      </c>
      <c r="L6" s="41">
        <v>5000</v>
      </c>
      <c r="M6" s="10">
        <v>2</v>
      </c>
      <c r="N6" s="41">
        <v>13360</v>
      </c>
      <c r="O6" s="41">
        <f t="shared" si="1"/>
        <v>293920</v>
      </c>
      <c r="P6" s="24">
        <f>(D6+G6+J6+O6+K6+L6)*1.037*1.04</f>
        <v>378026.11339999997</v>
      </c>
    </row>
    <row r="7" spans="1:16" x14ac:dyDescent="0.25">
      <c r="A7" s="23" t="s">
        <v>5</v>
      </c>
      <c r="B7" s="10">
        <v>1</v>
      </c>
      <c r="C7" s="41">
        <v>2880</v>
      </c>
      <c r="D7" s="25">
        <f t="shared" si="2"/>
        <v>34560</v>
      </c>
      <c r="E7" s="10">
        <v>250</v>
      </c>
      <c r="F7" s="41">
        <v>8.23</v>
      </c>
      <c r="G7" s="24">
        <f t="shared" si="3"/>
        <v>2057.5</v>
      </c>
      <c r="H7" s="10">
        <v>2000</v>
      </c>
      <c r="I7" s="41">
        <v>3.6</v>
      </c>
      <c r="J7" s="41">
        <f t="shared" si="0"/>
        <v>7200</v>
      </c>
      <c r="K7" s="41">
        <v>7780</v>
      </c>
      <c r="L7" s="41">
        <v>5000</v>
      </c>
      <c r="M7" s="10">
        <v>2</v>
      </c>
      <c r="N7" s="41">
        <v>13360</v>
      </c>
      <c r="O7" s="41">
        <f t="shared" si="1"/>
        <v>293920</v>
      </c>
      <c r="P7" s="24">
        <f>(D7+G7+J7+O7+K7+L7)*1.037*1.04*1.04</f>
        <v>393147.15793599997</v>
      </c>
    </row>
    <row r="11" spans="1:16" x14ac:dyDescent="0.25">
      <c r="P11" s="20" t="s">
        <v>46</v>
      </c>
    </row>
    <row r="12" spans="1:16" x14ac:dyDescent="0.25">
      <c r="G12" s="20" t="s">
        <v>46</v>
      </c>
    </row>
    <row r="13" spans="1:16" x14ac:dyDescent="0.25">
      <c r="M13" s="20" t="s">
        <v>46</v>
      </c>
    </row>
  </sheetData>
  <mergeCells count="8">
    <mergeCell ref="B1:P1"/>
    <mergeCell ref="B2:F2"/>
    <mergeCell ref="A3:A4"/>
    <mergeCell ref="B3:D3"/>
    <mergeCell ref="E3:G3"/>
    <mergeCell ref="H3:J3"/>
    <mergeCell ref="M3:O3"/>
    <mergeCell ref="P3:P4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249977111117893"/>
  </sheetPr>
  <dimension ref="A1:H7"/>
  <sheetViews>
    <sheetView view="pageBreakPreview" zoomScaleSheetLayoutView="100" workbookViewId="0">
      <selection activeCell="CL134" sqref="CL134:DA134"/>
    </sheetView>
  </sheetViews>
  <sheetFormatPr defaultColWidth="8.85546875" defaultRowHeight="15" x14ac:dyDescent="0.25"/>
  <cols>
    <col min="1" max="1" width="15.85546875" style="20" bestFit="1" customWidth="1"/>
    <col min="2" max="2" width="6.5703125" style="20" bestFit="1" customWidth="1"/>
    <col min="3" max="3" width="6.140625" style="20" bestFit="1" customWidth="1"/>
    <col min="4" max="4" width="12.7109375" style="20" bestFit="1" customWidth="1"/>
    <col min="5" max="5" width="10.5703125" style="20" bestFit="1" customWidth="1"/>
    <col min="6" max="6" width="22.42578125" style="20" bestFit="1" customWidth="1"/>
    <col min="7" max="7" width="22.42578125" style="20" customWidth="1"/>
    <col min="8" max="8" width="10.5703125" style="20" bestFit="1" customWidth="1"/>
    <col min="9" max="16384" width="8.85546875" style="20"/>
  </cols>
  <sheetData>
    <row r="1" spans="1:8" x14ac:dyDescent="0.25">
      <c r="A1" s="734" t="s">
        <v>87</v>
      </c>
      <c r="B1" s="734"/>
      <c r="C1" s="734"/>
      <c r="D1" s="734"/>
      <c r="E1" s="734"/>
      <c r="F1" s="734"/>
      <c r="G1" s="734"/>
      <c r="H1" s="734"/>
    </row>
    <row r="3" spans="1:8" ht="28.5" customHeight="1" x14ac:dyDescent="0.25">
      <c r="A3" s="735"/>
      <c r="B3" s="737" t="s">
        <v>88</v>
      </c>
      <c r="C3" s="737"/>
      <c r="D3" s="737"/>
      <c r="E3" s="737"/>
      <c r="F3" s="738" t="s">
        <v>849</v>
      </c>
      <c r="G3" s="738" t="s">
        <v>850</v>
      </c>
      <c r="H3" s="733" t="s">
        <v>4</v>
      </c>
    </row>
    <row r="4" spans="1:8" ht="25.5" customHeight="1" x14ac:dyDescent="0.25">
      <c r="A4" s="736"/>
      <c r="B4" s="26" t="s">
        <v>44</v>
      </c>
      <c r="C4" s="27" t="s">
        <v>45</v>
      </c>
      <c r="D4" s="28" t="s">
        <v>226</v>
      </c>
      <c r="E4" s="26" t="s">
        <v>41</v>
      </c>
      <c r="F4" s="738"/>
      <c r="G4" s="738"/>
      <c r="H4" s="733"/>
    </row>
    <row r="5" spans="1:8" x14ac:dyDescent="0.25">
      <c r="A5" s="23" t="s">
        <v>16</v>
      </c>
      <c r="B5" s="23" t="s">
        <v>86</v>
      </c>
      <c r="C5" s="23">
        <v>4</v>
      </c>
      <c r="D5" s="24">
        <v>51660</v>
      </c>
      <c r="E5" s="461">
        <f>D5*C5</f>
        <v>206640</v>
      </c>
      <c r="F5" s="462">
        <v>427700</v>
      </c>
      <c r="G5" s="462">
        <v>68866</v>
      </c>
      <c r="H5" s="462">
        <f>E5+F5+G5</f>
        <v>703206</v>
      </c>
    </row>
    <row r="6" spans="1:8" x14ac:dyDescent="0.25">
      <c r="A6" s="23" t="s">
        <v>3</v>
      </c>
      <c r="B6" s="23" t="s">
        <v>86</v>
      </c>
      <c r="C6" s="23">
        <v>4</v>
      </c>
      <c r="D6" s="24">
        <v>51660</v>
      </c>
      <c r="E6" s="461">
        <f>D6*C6*1.037*1.04</f>
        <v>222857.1072</v>
      </c>
      <c r="F6" s="462">
        <v>0</v>
      </c>
      <c r="G6" s="462">
        <v>0</v>
      </c>
      <c r="H6" s="462">
        <f t="shared" ref="H6:H7" si="0">E6+F6</f>
        <v>222857.1072</v>
      </c>
    </row>
    <row r="7" spans="1:8" x14ac:dyDescent="0.25">
      <c r="A7" s="23" t="s">
        <v>5</v>
      </c>
      <c r="B7" s="23" t="s">
        <v>86</v>
      </c>
      <c r="C7" s="23">
        <v>4</v>
      </c>
      <c r="D7" s="24">
        <v>51660</v>
      </c>
      <c r="E7" s="461">
        <f>D7*C7*1.037*1.04*1.04</f>
        <v>231771.39148799999</v>
      </c>
      <c r="F7" s="462">
        <v>0</v>
      </c>
      <c r="G7" s="462">
        <v>0</v>
      </c>
      <c r="H7" s="462">
        <f t="shared" si="0"/>
        <v>231771.39148799999</v>
      </c>
    </row>
  </sheetData>
  <mergeCells count="6">
    <mergeCell ref="A1:H1"/>
    <mergeCell ref="A3:A4"/>
    <mergeCell ref="B3:E3"/>
    <mergeCell ref="F3:F4"/>
    <mergeCell ref="H3:H4"/>
    <mergeCell ref="G3:G4"/>
  </mergeCells>
  <pageMargins left="0.7" right="0.7" top="0.75" bottom="0.75" header="0.3" footer="0.3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</sheetPr>
  <dimension ref="A1:G15"/>
  <sheetViews>
    <sheetView view="pageBreakPreview" zoomScaleSheetLayoutView="100" workbookViewId="0">
      <selection activeCell="CL134" sqref="CL134:DA134"/>
    </sheetView>
  </sheetViews>
  <sheetFormatPr defaultRowHeight="15" x14ac:dyDescent="0.25"/>
  <cols>
    <col min="1" max="1" width="36.140625" customWidth="1"/>
    <col min="2" max="2" width="9.28515625" customWidth="1"/>
    <col min="3" max="3" width="10.140625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739" t="s">
        <v>65</v>
      </c>
      <c r="B1" s="739"/>
      <c r="C1" s="739"/>
      <c r="D1" s="739"/>
      <c r="E1" s="739"/>
      <c r="F1" s="739"/>
      <c r="G1" s="739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740" t="s">
        <v>0</v>
      </c>
      <c r="B3" s="741" t="s">
        <v>62</v>
      </c>
      <c r="C3" s="742"/>
      <c r="D3" s="742"/>
      <c r="E3" s="742"/>
      <c r="F3" s="742"/>
      <c r="G3" s="743"/>
    </row>
    <row r="4" spans="1:7" ht="30" x14ac:dyDescent="0.25">
      <c r="A4" s="740"/>
      <c r="B4" s="1" t="s">
        <v>63</v>
      </c>
      <c r="C4" s="1" t="s">
        <v>225</v>
      </c>
      <c r="D4" s="1" t="s">
        <v>2</v>
      </c>
      <c r="E4" s="2" t="s">
        <v>16</v>
      </c>
      <c r="F4" s="2" t="s">
        <v>3</v>
      </c>
      <c r="G4" s="2" t="s">
        <v>5</v>
      </c>
    </row>
    <row r="5" spans="1:7" x14ac:dyDescent="0.25">
      <c r="A5" s="134"/>
      <c r="B5" s="1" t="s">
        <v>167</v>
      </c>
      <c r="C5" s="3"/>
      <c r="D5" s="4"/>
      <c r="E5" s="5">
        <f>C5*D5*1.0037</f>
        <v>0</v>
      </c>
      <c r="F5" s="3">
        <f>E5*1.04</f>
        <v>0</v>
      </c>
      <c r="G5" s="3">
        <f>F5*1.04</f>
        <v>0</v>
      </c>
    </row>
    <row r="6" spans="1:7" x14ac:dyDescent="0.25">
      <c r="A6" s="134"/>
      <c r="B6" s="79" t="s">
        <v>102</v>
      </c>
      <c r="C6" s="80"/>
      <c r="D6" s="81"/>
      <c r="E6" s="87">
        <f t="shared" ref="E6:E8" si="0">C6*D6*1.0037</f>
        <v>0</v>
      </c>
      <c r="F6" s="85">
        <f t="shared" ref="F6:G6" si="1">E6*1.04</f>
        <v>0</v>
      </c>
      <c r="G6" s="85">
        <f t="shared" si="1"/>
        <v>0</v>
      </c>
    </row>
    <row r="7" spans="1:7" x14ac:dyDescent="0.25">
      <c r="A7" s="134"/>
      <c r="B7" s="1" t="s">
        <v>102</v>
      </c>
      <c r="C7" s="3"/>
      <c r="D7" s="4"/>
      <c r="E7" s="87">
        <f t="shared" si="0"/>
        <v>0</v>
      </c>
      <c r="F7" s="85">
        <f t="shared" ref="F7:G7" si="2">E7*1.04</f>
        <v>0</v>
      </c>
      <c r="G7" s="85">
        <f t="shared" si="2"/>
        <v>0</v>
      </c>
    </row>
    <row r="8" spans="1:7" x14ac:dyDescent="0.25">
      <c r="A8" s="134"/>
      <c r="B8" s="1" t="s">
        <v>102</v>
      </c>
      <c r="C8" s="3"/>
      <c r="D8" s="4"/>
      <c r="E8" s="87">
        <f t="shared" si="0"/>
        <v>0</v>
      </c>
      <c r="F8" s="85">
        <f t="shared" ref="F8:G12" si="3">E8*1.04</f>
        <v>0</v>
      </c>
      <c r="G8" s="85">
        <f t="shared" si="3"/>
        <v>0</v>
      </c>
    </row>
    <row r="9" spans="1:7" x14ac:dyDescent="0.25">
      <c r="A9" s="1"/>
      <c r="B9" s="1"/>
      <c r="C9" s="3"/>
      <c r="D9" s="4"/>
      <c r="E9" s="5">
        <f t="shared" ref="E9:E12" si="4">C9*D9*1.042</f>
        <v>0</v>
      </c>
      <c r="F9" s="85">
        <f t="shared" si="3"/>
        <v>0</v>
      </c>
      <c r="G9" s="85">
        <f t="shared" si="3"/>
        <v>0</v>
      </c>
    </row>
    <row r="10" spans="1:7" x14ac:dyDescent="0.25">
      <c r="A10" s="1"/>
      <c r="B10" s="1"/>
      <c r="C10" s="3"/>
      <c r="D10" s="4"/>
      <c r="E10" s="5">
        <f t="shared" si="4"/>
        <v>0</v>
      </c>
      <c r="F10" s="85">
        <f t="shared" si="3"/>
        <v>0</v>
      </c>
      <c r="G10" s="85">
        <f t="shared" si="3"/>
        <v>0</v>
      </c>
    </row>
    <row r="11" spans="1:7" x14ac:dyDescent="0.25">
      <c r="A11" s="1"/>
      <c r="B11" s="1"/>
      <c r="C11" s="3"/>
      <c r="D11" s="4"/>
      <c r="E11" s="5">
        <f t="shared" si="4"/>
        <v>0</v>
      </c>
      <c r="F11" s="85">
        <f t="shared" si="3"/>
        <v>0</v>
      </c>
      <c r="G11" s="85">
        <f t="shared" si="3"/>
        <v>0</v>
      </c>
    </row>
    <row r="12" spans="1:7" x14ac:dyDescent="0.25">
      <c r="A12" s="1"/>
      <c r="B12" s="1"/>
      <c r="C12" s="1"/>
      <c r="D12" s="1"/>
      <c r="E12" s="5">
        <f t="shared" si="4"/>
        <v>0</v>
      </c>
      <c r="F12" s="85">
        <f t="shared" si="3"/>
        <v>0</v>
      </c>
      <c r="G12" s="85">
        <f t="shared" si="3"/>
        <v>0</v>
      </c>
    </row>
    <row r="13" spans="1:7" x14ac:dyDescent="0.25">
      <c r="A13" s="1" t="s">
        <v>4</v>
      </c>
      <c r="B13" s="1"/>
      <c r="C13" s="3"/>
      <c r="D13" s="6">
        <f>SUM(D5:D12)</f>
        <v>0</v>
      </c>
      <c r="E13" s="7">
        <f>SUM(E5:E12)</f>
        <v>0</v>
      </c>
      <c r="F13" s="7">
        <f>SUM(F5:F12)</f>
        <v>0</v>
      </c>
      <c r="G13" s="7">
        <f>SUM(G5:G12)</f>
        <v>0</v>
      </c>
    </row>
    <row r="14" spans="1:7" x14ac:dyDescent="0.25">
      <c r="A14" s="8"/>
      <c r="B14" s="8"/>
      <c r="C14" s="8"/>
      <c r="D14" s="8"/>
      <c r="E14" s="8"/>
      <c r="F14" s="8"/>
      <c r="G14" s="8"/>
    </row>
    <row r="15" spans="1:7" x14ac:dyDescent="0.25">
      <c r="A15" s="8"/>
      <c r="B15" s="8"/>
      <c r="C15" s="8"/>
      <c r="D15" s="8"/>
      <c r="E15" s="8"/>
      <c r="F15" s="8"/>
      <c r="G15" s="8"/>
    </row>
  </sheetData>
  <mergeCells count="3">
    <mergeCell ref="A1:G1"/>
    <mergeCell ref="A3:A4"/>
    <mergeCell ref="B3:G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249977111117893"/>
  </sheetPr>
  <dimension ref="A1:G18"/>
  <sheetViews>
    <sheetView view="pageBreakPreview" zoomScaleSheetLayoutView="100" workbookViewId="0">
      <selection activeCell="CL134" sqref="CL134:DA134"/>
    </sheetView>
  </sheetViews>
  <sheetFormatPr defaultColWidth="9.140625" defaultRowHeight="15" x14ac:dyDescent="0.25"/>
  <cols>
    <col min="1" max="1" width="36.140625" style="8" customWidth="1"/>
    <col min="2" max="2" width="9.28515625" style="8" customWidth="1"/>
    <col min="3" max="3" width="10.5703125" style="8" bestFit="1" customWidth="1"/>
    <col min="4" max="4" width="12.140625" style="8" customWidth="1"/>
    <col min="5" max="7" width="17.85546875" style="8" bestFit="1" customWidth="1"/>
    <col min="8" max="8" width="9.42578125" style="8" customWidth="1"/>
    <col min="9" max="16384" width="9.140625" style="8"/>
  </cols>
  <sheetData>
    <row r="1" spans="1:7" x14ac:dyDescent="0.25">
      <c r="A1" s="739" t="s">
        <v>66</v>
      </c>
      <c r="B1" s="739"/>
      <c r="C1" s="739"/>
      <c r="D1" s="739"/>
      <c r="E1" s="739"/>
      <c r="F1" s="739"/>
      <c r="G1" s="739"/>
    </row>
    <row r="3" spans="1:7" x14ac:dyDescent="0.25">
      <c r="A3" s="740" t="s">
        <v>0</v>
      </c>
      <c r="B3" s="741" t="s">
        <v>62</v>
      </c>
      <c r="C3" s="742"/>
      <c r="D3" s="742"/>
      <c r="E3" s="742"/>
      <c r="F3" s="742"/>
      <c r="G3" s="743"/>
    </row>
    <row r="4" spans="1:7" ht="30" x14ac:dyDescent="0.25">
      <c r="A4" s="740"/>
      <c r="B4" s="345" t="s">
        <v>63</v>
      </c>
      <c r="C4" s="345" t="s">
        <v>225</v>
      </c>
      <c r="D4" s="345" t="s">
        <v>2</v>
      </c>
      <c r="E4" s="2" t="s">
        <v>16</v>
      </c>
      <c r="F4" s="2" t="s">
        <v>3</v>
      </c>
      <c r="G4" s="2" t="s">
        <v>5</v>
      </c>
    </row>
    <row r="5" spans="1:7" ht="36.75" customHeight="1" x14ac:dyDescent="0.25">
      <c r="A5" s="345" t="s">
        <v>174</v>
      </c>
      <c r="B5" s="345" t="s">
        <v>175</v>
      </c>
      <c r="C5" s="85">
        <v>33102.5</v>
      </c>
      <c r="D5" s="86">
        <v>12</v>
      </c>
      <c r="E5" s="87">
        <f>C5*D5</f>
        <v>397230</v>
      </c>
      <c r="F5" s="85">
        <f>E5*1.04</f>
        <v>413119.2</v>
      </c>
      <c r="G5" s="85">
        <f>F5*1.04</f>
        <v>429643.96800000005</v>
      </c>
    </row>
    <row r="6" spans="1:7" ht="30" x14ac:dyDescent="0.25">
      <c r="A6" s="345" t="s">
        <v>176</v>
      </c>
      <c r="B6" s="345" t="s">
        <v>175</v>
      </c>
      <c r="C6" s="466">
        <v>35406.42</v>
      </c>
      <c r="D6" s="86">
        <v>12</v>
      </c>
      <c r="E6" s="87">
        <f t="shared" ref="E6:E8" si="0">C6*D6</f>
        <v>424877.04</v>
      </c>
      <c r="F6" s="85">
        <f t="shared" ref="F6:G6" si="1">E6*1.04</f>
        <v>441872.12160000001</v>
      </c>
      <c r="G6" s="85">
        <f t="shared" si="1"/>
        <v>459547.00646400003</v>
      </c>
    </row>
    <row r="7" spans="1:7" ht="30" x14ac:dyDescent="0.25">
      <c r="A7" s="345" t="s">
        <v>177</v>
      </c>
      <c r="B7" s="345" t="s">
        <v>175</v>
      </c>
      <c r="C7" s="85"/>
      <c r="D7" s="86">
        <v>12</v>
      </c>
      <c r="E7" s="87">
        <f t="shared" si="0"/>
        <v>0</v>
      </c>
      <c r="F7" s="85">
        <f t="shared" ref="F7:G7" si="2">E7*1.04</f>
        <v>0</v>
      </c>
      <c r="G7" s="85">
        <f t="shared" si="2"/>
        <v>0</v>
      </c>
    </row>
    <row r="8" spans="1:7" ht="45" x14ac:dyDescent="0.25">
      <c r="A8" s="345" t="s">
        <v>178</v>
      </c>
      <c r="B8" s="345" t="s">
        <v>175</v>
      </c>
      <c r="C8" s="85"/>
      <c r="D8" s="86">
        <v>12</v>
      </c>
      <c r="E8" s="87">
        <f t="shared" si="0"/>
        <v>0</v>
      </c>
      <c r="F8" s="85">
        <f t="shared" ref="F8:G8" si="3">E8*1.04</f>
        <v>0</v>
      </c>
      <c r="G8" s="85">
        <f t="shared" si="3"/>
        <v>0</v>
      </c>
    </row>
    <row r="9" spans="1:7" x14ac:dyDescent="0.25">
      <c r="B9" s="345"/>
      <c r="C9" s="85"/>
      <c r="D9" s="86"/>
      <c r="E9" s="87">
        <f t="shared" ref="E9:E11" si="4">C9*D9*1.042</f>
        <v>0</v>
      </c>
      <c r="F9" s="85"/>
      <c r="G9" s="85"/>
    </row>
    <row r="10" spans="1:7" ht="39.75" hidden="1" customHeight="1" x14ac:dyDescent="0.25">
      <c r="A10" s="345"/>
      <c r="B10" s="345"/>
      <c r="C10" s="85"/>
      <c r="D10" s="86"/>
      <c r="E10" s="87">
        <f t="shared" si="4"/>
        <v>0</v>
      </c>
      <c r="F10" s="85"/>
      <c r="G10" s="85"/>
    </row>
    <row r="11" spans="1:7" hidden="1" x14ac:dyDescent="0.25">
      <c r="A11" s="345"/>
      <c r="B11" s="345"/>
      <c r="C11" s="85"/>
      <c r="D11" s="86"/>
      <c r="E11" s="87">
        <f t="shared" si="4"/>
        <v>0</v>
      </c>
      <c r="F11" s="85"/>
      <c r="G11" s="85"/>
    </row>
    <row r="12" spans="1:7" s="463" customFormat="1" ht="14.25" x14ac:dyDescent="0.2">
      <c r="A12" s="349" t="s">
        <v>4</v>
      </c>
      <c r="B12" s="349"/>
      <c r="C12" s="7"/>
      <c r="D12" s="6">
        <f>SUM(D5:D11)</f>
        <v>48</v>
      </c>
      <c r="E12" s="7">
        <f>SUM(E5:E11)</f>
        <v>822107.04</v>
      </c>
      <c r="F12" s="7">
        <f>SUM(F5:F11)</f>
        <v>854991.32160000002</v>
      </c>
      <c r="G12" s="7">
        <f>SUM(G5:G11)</f>
        <v>889190.97446400009</v>
      </c>
    </row>
    <row r="13" spans="1:7" x14ac:dyDescent="0.25">
      <c r="B13" s="741" t="s">
        <v>21</v>
      </c>
      <c r="C13" s="742"/>
      <c r="D13" s="742"/>
      <c r="E13" s="742"/>
      <c r="F13" s="742"/>
      <c r="G13" s="743"/>
    </row>
    <row r="14" spans="1:7" ht="45" x14ac:dyDescent="0.25">
      <c r="A14" s="345" t="s">
        <v>104</v>
      </c>
      <c r="B14" s="10"/>
      <c r="C14" s="464">
        <v>120306.56</v>
      </c>
      <c r="D14" s="465"/>
      <c r="E14" s="464">
        <v>120306.56</v>
      </c>
      <c r="F14" s="85">
        <f t="shared" ref="F14:G14" si="5">E14*1.04</f>
        <v>125118.8224</v>
      </c>
      <c r="G14" s="85">
        <f t="shared" si="5"/>
        <v>130123.57529600001</v>
      </c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s="463" customFormat="1" ht="14.25" x14ac:dyDescent="0.2">
      <c r="A18" s="349" t="s">
        <v>4</v>
      </c>
      <c r="B18" s="349"/>
      <c r="C18" s="7"/>
      <c r="D18" s="6"/>
      <c r="E18" s="7">
        <f>SUM(E14:E17)</f>
        <v>120306.56</v>
      </c>
      <c r="F18" s="7">
        <f t="shared" ref="F18:G18" si="6">SUM(F14:F17)</f>
        <v>125118.8224</v>
      </c>
      <c r="G18" s="7">
        <f t="shared" si="6"/>
        <v>130123.57529600001</v>
      </c>
    </row>
  </sheetData>
  <mergeCells count="4">
    <mergeCell ref="A1:G1"/>
    <mergeCell ref="A3:A4"/>
    <mergeCell ref="B3:G3"/>
    <mergeCell ref="B13:G1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249977111117893"/>
  </sheetPr>
  <dimension ref="A1:G48"/>
  <sheetViews>
    <sheetView view="pageBreakPreview" zoomScaleSheetLayoutView="100" workbookViewId="0">
      <selection activeCell="CL134" sqref="CL134:DA134"/>
    </sheetView>
  </sheetViews>
  <sheetFormatPr defaultRowHeight="15" x14ac:dyDescent="0.25"/>
  <cols>
    <col min="1" max="1" width="29.7109375" customWidth="1"/>
    <col min="2" max="2" width="10.5703125" customWidth="1"/>
    <col min="3" max="3" width="10.140625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739" t="s">
        <v>20</v>
      </c>
      <c r="B1" s="739"/>
      <c r="C1" s="739"/>
      <c r="D1" s="739"/>
      <c r="E1" s="739"/>
      <c r="F1" s="739"/>
      <c r="G1" s="739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740" t="s">
        <v>0</v>
      </c>
      <c r="B3" s="741" t="s">
        <v>21</v>
      </c>
      <c r="C3" s="742"/>
      <c r="D3" s="742"/>
      <c r="E3" s="742"/>
      <c r="F3" s="742"/>
      <c r="G3" s="743"/>
    </row>
    <row r="4" spans="1:7" ht="30" x14ac:dyDescent="0.25">
      <c r="A4" s="750"/>
      <c r="B4" s="1" t="s">
        <v>64</v>
      </c>
      <c r="C4" s="1" t="s">
        <v>225</v>
      </c>
      <c r="D4" s="1" t="s">
        <v>2</v>
      </c>
      <c r="E4" s="2" t="s">
        <v>16</v>
      </c>
      <c r="F4" s="2" t="s">
        <v>3</v>
      </c>
      <c r="G4" s="2" t="s">
        <v>5</v>
      </c>
    </row>
    <row r="5" spans="1:7" ht="78.75" x14ac:dyDescent="0.25">
      <c r="A5" s="230" t="s">
        <v>851</v>
      </c>
      <c r="B5" s="467" t="s">
        <v>167</v>
      </c>
      <c r="C5" s="69">
        <v>3400</v>
      </c>
      <c r="D5" s="70">
        <v>2</v>
      </c>
      <c r="E5" s="5">
        <f>C5*D5</f>
        <v>6800</v>
      </c>
      <c r="F5" s="3">
        <f>E5*1.04</f>
        <v>7072</v>
      </c>
      <c r="G5" s="3">
        <f>F5*1.04</f>
        <v>7354.88</v>
      </c>
    </row>
    <row r="6" spans="1:7" ht="31.5" x14ac:dyDescent="0.25">
      <c r="A6" s="231" t="s">
        <v>880</v>
      </c>
      <c r="B6" s="137" t="s">
        <v>167</v>
      </c>
      <c r="C6" s="69">
        <v>9990</v>
      </c>
      <c r="D6" s="70">
        <v>1</v>
      </c>
      <c r="E6" s="87">
        <f t="shared" ref="E6:E14" si="0">C6*D6</f>
        <v>9990</v>
      </c>
      <c r="F6" s="85">
        <f t="shared" ref="F6:G6" si="1">E6*1.04</f>
        <v>10389.6</v>
      </c>
      <c r="G6" s="85">
        <f t="shared" si="1"/>
        <v>10805.184000000001</v>
      </c>
    </row>
    <row r="7" spans="1:7" ht="31.5" x14ac:dyDescent="0.25">
      <c r="A7" s="230" t="s">
        <v>852</v>
      </c>
      <c r="B7" s="346" t="s">
        <v>167</v>
      </c>
      <c r="C7" s="69">
        <v>733.33</v>
      </c>
      <c r="D7" s="70">
        <v>15</v>
      </c>
      <c r="E7" s="87">
        <f t="shared" si="0"/>
        <v>10999.95</v>
      </c>
      <c r="F7" s="85">
        <f t="shared" ref="F7:G7" si="2">E7*1.04</f>
        <v>11439.948</v>
      </c>
      <c r="G7" s="85">
        <f t="shared" si="2"/>
        <v>11897.54592</v>
      </c>
    </row>
    <row r="8" spans="1:7" ht="45" x14ac:dyDescent="0.25">
      <c r="A8" s="136" t="s">
        <v>853</v>
      </c>
      <c r="B8" s="137" t="s">
        <v>881</v>
      </c>
      <c r="C8" s="69">
        <v>6083.33</v>
      </c>
      <c r="D8" s="70">
        <v>12</v>
      </c>
      <c r="E8" s="87">
        <f t="shared" si="0"/>
        <v>72999.959999999992</v>
      </c>
      <c r="F8" s="85">
        <f t="shared" ref="F8:G8" si="3">E8*1.04</f>
        <v>75919.958399999989</v>
      </c>
      <c r="G8" s="85">
        <f t="shared" si="3"/>
        <v>78956.756735999996</v>
      </c>
    </row>
    <row r="9" spans="1:7" ht="45" x14ac:dyDescent="0.25">
      <c r="A9" s="136" t="s">
        <v>854</v>
      </c>
      <c r="B9" s="137" t="s">
        <v>167</v>
      </c>
      <c r="C9" s="69">
        <v>500</v>
      </c>
      <c r="D9" s="70">
        <v>10</v>
      </c>
      <c r="E9" s="87">
        <f t="shared" si="0"/>
        <v>5000</v>
      </c>
      <c r="F9" s="85">
        <f t="shared" ref="F9:G9" si="4">E9*1.04</f>
        <v>5200</v>
      </c>
      <c r="G9" s="85">
        <f t="shared" si="4"/>
        <v>5408</v>
      </c>
    </row>
    <row r="10" spans="1:7" ht="30" x14ac:dyDescent="0.25">
      <c r="A10" s="136" t="s">
        <v>879</v>
      </c>
      <c r="B10" s="137" t="s">
        <v>881</v>
      </c>
      <c r="C10" s="69">
        <v>3500</v>
      </c>
      <c r="D10" s="70">
        <v>1</v>
      </c>
      <c r="E10" s="87">
        <f t="shared" si="0"/>
        <v>3500</v>
      </c>
      <c r="F10" s="85">
        <f t="shared" ref="F10:G10" si="5">E10*1.04</f>
        <v>3640</v>
      </c>
      <c r="G10" s="85">
        <f t="shared" si="5"/>
        <v>3785.6</v>
      </c>
    </row>
    <row r="11" spans="1:7" x14ac:dyDescent="0.25">
      <c r="A11" s="136"/>
      <c r="B11" s="137"/>
      <c r="C11" s="69"/>
      <c r="D11" s="70"/>
      <c r="E11" s="87">
        <f>C11*D11</f>
        <v>0</v>
      </c>
      <c r="F11" s="85">
        <f t="shared" ref="F11:G11" si="6">E11*1.04</f>
        <v>0</v>
      </c>
      <c r="G11" s="85">
        <f t="shared" si="6"/>
        <v>0</v>
      </c>
    </row>
    <row r="12" spans="1:7" x14ac:dyDescent="0.25">
      <c r="A12" s="136"/>
      <c r="B12" s="137"/>
      <c r="C12" s="69"/>
      <c r="D12" s="70"/>
      <c r="E12" s="87">
        <f t="shared" si="0"/>
        <v>0</v>
      </c>
      <c r="F12" s="85">
        <f t="shared" ref="F12:G12" si="7">E12*1.04</f>
        <v>0</v>
      </c>
      <c r="G12" s="85">
        <f t="shared" si="7"/>
        <v>0</v>
      </c>
    </row>
    <row r="13" spans="1:7" x14ac:dyDescent="0.25">
      <c r="A13" s="136"/>
      <c r="B13" s="137"/>
      <c r="C13" s="69"/>
      <c r="D13" s="70"/>
      <c r="E13" s="87">
        <f t="shared" si="0"/>
        <v>0</v>
      </c>
      <c r="F13" s="85">
        <f t="shared" ref="F13:G13" si="8">E13*1.04</f>
        <v>0</v>
      </c>
      <c r="G13" s="85">
        <f t="shared" si="8"/>
        <v>0</v>
      </c>
    </row>
    <row r="14" spans="1:7" x14ac:dyDescent="0.25">
      <c r="A14" s="136"/>
      <c r="B14" s="137"/>
      <c r="C14" s="69"/>
      <c r="D14" s="70"/>
      <c r="E14" s="87">
        <f t="shared" si="0"/>
        <v>0</v>
      </c>
      <c r="F14" s="85">
        <f t="shared" ref="F14:G14" si="9">E14*1.04</f>
        <v>0</v>
      </c>
      <c r="G14" s="85">
        <f t="shared" si="9"/>
        <v>0</v>
      </c>
    </row>
    <row r="15" spans="1:7" x14ac:dyDescent="0.25">
      <c r="A15" s="1" t="s">
        <v>4</v>
      </c>
      <c r="B15" s="1"/>
      <c r="C15" s="3"/>
      <c r="D15" s="6">
        <f>SUM(D5:D14)</f>
        <v>41</v>
      </c>
      <c r="E15" s="7">
        <f>SUM(E5:E14)</f>
        <v>109289.90999999999</v>
      </c>
      <c r="F15" s="7">
        <f>SUM(F5:F14)</f>
        <v>113661.50639999998</v>
      </c>
      <c r="G15" s="7">
        <f>SUM(G5:G14)</f>
        <v>118207.966656</v>
      </c>
    </row>
    <row r="16" spans="1:7" x14ac:dyDescent="0.25">
      <c r="A16" s="8"/>
      <c r="B16" s="8"/>
      <c r="C16" s="8"/>
      <c r="D16" s="8"/>
      <c r="E16" s="8"/>
      <c r="F16" s="8"/>
      <c r="G16" s="8"/>
    </row>
    <row r="17" spans="1:5" s="352" customFormat="1" x14ac:dyDescent="0.25">
      <c r="A17" s="751" t="s">
        <v>885</v>
      </c>
      <c r="B17" s="751"/>
      <c r="C17" s="751"/>
      <c r="D17" s="751"/>
      <c r="E17" s="751"/>
    </row>
    <row r="18" spans="1:5" s="352" customFormat="1" x14ac:dyDescent="0.25">
      <c r="A18" s="476"/>
      <c r="B18" s="477"/>
      <c r="C18" s="477"/>
      <c r="D18" s="477"/>
      <c r="E18" s="477"/>
    </row>
    <row r="19" spans="1:5" s="352" customFormat="1" x14ac:dyDescent="0.25">
      <c r="A19" s="752"/>
      <c r="B19" s="754"/>
      <c r="C19" s="754"/>
      <c r="D19" s="754"/>
      <c r="E19" s="755"/>
    </row>
    <row r="20" spans="1:5" s="352" customFormat="1" x14ac:dyDescent="0.25">
      <c r="A20" s="753"/>
      <c r="B20" s="357" t="s">
        <v>44</v>
      </c>
      <c r="C20" s="358" t="s">
        <v>45</v>
      </c>
      <c r="D20" s="359" t="s">
        <v>40</v>
      </c>
      <c r="E20" s="360" t="s">
        <v>41</v>
      </c>
    </row>
    <row r="21" spans="1:5" s="352" customFormat="1" x14ac:dyDescent="0.25">
      <c r="A21" s="354" t="s">
        <v>738</v>
      </c>
      <c r="B21" s="397"/>
      <c r="C21" s="354"/>
      <c r="D21" s="468"/>
      <c r="E21" s="356">
        <f>B48</f>
        <v>40000</v>
      </c>
    </row>
    <row r="22" spans="1:5" s="352" customFormat="1" x14ac:dyDescent="0.25">
      <c r="A22" s="469" t="s">
        <v>855</v>
      </c>
    </row>
    <row r="23" spans="1:5" s="352" customFormat="1" x14ac:dyDescent="0.25">
      <c r="A23" s="470" t="s">
        <v>0</v>
      </c>
      <c r="B23" s="748" t="s">
        <v>856</v>
      </c>
      <c r="C23" s="748"/>
    </row>
    <row r="24" spans="1:5" s="352" customFormat="1" x14ac:dyDescent="0.25">
      <c r="A24" s="471">
        <v>1</v>
      </c>
      <c r="B24" s="749">
        <v>2</v>
      </c>
      <c r="C24" s="749"/>
    </row>
    <row r="25" spans="1:5" s="352" customFormat="1" x14ac:dyDescent="0.25">
      <c r="A25" s="472" t="s">
        <v>857</v>
      </c>
      <c r="B25" s="744">
        <v>1000</v>
      </c>
      <c r="C25" s="744"/>
    </row>
    <row r="26" spans="1:5" s="352" customFormat="1" x14ac:dyDescent="0.25">
      <c r="A26" s="472" t="s">
        <v>858</v>
      </c>
      <c r="B26" s="744">
        <v>1600</v>
      </c>
      <c r="C26" s="744"/>
    </row>
    <row r="27" spans="1:5" s="352" customFormat="1" x14ac:dyDescent="0.25">
      <c r="A27" s="472" t="s">
        <v>859</v>
      </c>
      <c r="B27" s="744">
        <v>615</v>
      </c>
      <c r="C27" s="744"/>
    </row>
    <row r="28" spans="1:5" s="352" customFormat="1" x14ac:dyDescent="0.25">
      <c r="A28" s="472" t="s">
        <v>860</v>
      </c>
      <c r="B28" s="744">
        <v>615</v>
      </c>
      <c r="C28" s="744"/>
    </row>
    <row r="29" spans="1:5" s="352" customFormat="1" x14ac:dyDescent="0.25">
      <c r="A29" s="473" t="s">
        <v>861</v>
      </c>
      <c r="B29" s="744"/>
      <c r="C29" s="744"/>
    </row>
    <row r="30" spans="1:5" s="352" customFormat="1" ht="24" x14ac:dyDescent="0.25">
      <c r="A30" s="472" t="s">
        <v>862</v>
      </c>
      <c r="B30" s="744">
        <v>2500</v>
      </c>
      <c r="C30" s="744"/>
    </row>
    <row r="31" spans="1:5" s="352" customFormat="1" ht="24" hidden="1" x14ac:dyDescent="0.25">
      <c r="A31" s="472" t="s">
        <v>863</v>
      </c>
      <c r="B31" s="744"/>
      <c r="C31" s="744"/>
    </row>
    <row r="32" spans="1:5" s="352" customFormat="1" x14ac:dyDescent="0.25">
      <c r="A32" s="472" t="s">
        <v>864</v>
      </c>
      <c r="B32" s="744">
        <v>4000</v>
      </c>
      <c r="C32" s="744"/>
    </row>
    <row r="33" spans="1:3" s="352" customFormat="1" x14ac:dyDescent="0.25">
      <c r="A33" s="472" t="s">
        <v>865</v>
      </c>
      <c r="B33" s="744">
        <v>1800</v>
      </c>
      <c r="C33" s="744"/>
    </row>
    <row r="34" spans="1:3" s="352" customFormat="1" ht="36" x14ac:dyDescent="0.25">
      <c r="A34" s="472" t="s">
        <v>866</v>
      </c>
      <c r="B34" s="744">
        <v>1500</v>
      </c>
      <c r="C34" s="744"/>
    </row>
    <row r="35" spans="1:3" s="352" customFormat="1" x14ac:dyDescent="0.25">
      <c r="A35" s="472" t="s">
        <v>867</v>
      </c>
      <c r="B35" s="744">
        <v>3000</v>
      </c>
      <c r="C35" s="744"/>
    </row>
    <row r="36" spans="1:3" s="352" customFormat="1" ht="24" x14ac:dyDescent="0.25">
      <c r="A36" s="472" t="s">
        <v>868</v>
      </c>
      <c r="B36" s="744">
        <v>4000</v>
      </c>
      <c r="C36" s="744"/>
    </row>
    <row r="37" spans="1:3" s="352" customFormat="1" x14ac:dyDescent="0.25">
      <c r="A37" s="472" t="s">
        <v>869</v>
      </c>
      <c r="B37" s="744">
        <v>2600</v>
      </c>
      <c r="C37" s="744"/>
    </row>
    <row r="38" spans="1:3" s="352" customFormat="1" x14ac:dyDescent="0.25">
      <c r="A38" s="472" t="s">
        <v>870</v>
      </c>
      <c r="B38" s="744">
        <v>1670</v>
      </c>
      <c r="C38" s="744"/>
    </row>
    <row r="39" spans="1:3" s="352" customFormat="1" hidden="1" x14ac:dyDescent="0.25">
      <c r="A39" s="472" t="s">
        <v>871</v>
      </c>
      <c r="B39" s="744"/>
      <c r="C39" s="744"/>
    </row>
    <row r="40" spans="1:3" s="352" customFormat="1" ht="24" x14ac:dyDescent="0.25">
      <c r="A40" s="472" t="s">
        <v>872</v>
      </c>
      <c r="B40" s="744">
        <v>8500</v>
      </c>
      <c r="C40" s="744"/>
    </row>
    <row r="41" spans="1:3" s="352" customFormat="1" ht="36" hidden="1" x14ac:dyDescent="0.25">
      <c r="A41" s="472" t="s">
        <v>873</v>
      </c>
      <c r="B41" s="744"/>
      <c r="C41" s="744"/>
    </row>
    <row r="42" spans="1:3" s="352" customFormat="1" x14ac:dyDescent="0.25">
      <c r="A42" s="747" t="s">
        <v>874</v>
      </c>
      <c r="B42" s="744">
        <v>3400</v>
      </c>
      <c r="C42" s="744"/>
    </row>
    <row r="43" spans="1:3" s="352" customFormat="1" x14ac:dyDescent="0.25">
      <c r="A43" s="747"/>
      <c r="B43" s="744"/>
      <c r="C43" s="744"/>
    </row>
    <row r="44" spans="1:3" s="352" customFormat="1" ht="24" hidden="1" x14ac:dyDescent="0.25">
      <c r="A44" s="472" t="s">
        <v>875</v>
      </c>
      <c r="B44" s="744"/>
      <c r="C44" s="744"/>
    </row>
    <row r="45" spans="1:3" s="352" customFormat="1" hidden="1" x14ac:dyDescent="0.25">
      <c r="A45" s="472" t="s">
        <v>876</v>
      </c>
      <c r="B45" s="744"/>
      <c r="C45" s="744"/>
    </row>
    <row r="46" spans="1:3" s="352" customFormat="1" x14ac:dyDescent="0.25">
      <c r="A46" s="472" t="s">
        <v>877</v>
      </c>
      <c r="B46" s="744">
        <v>3200</v>
      </c>
      <c r="C46" s="744"/>
    </row>
    <row r="47" spans="1:3" s="352" customFormat="1" ht="36" hidden="1" x14ac:dyDescent="0.25">
      <c r="A47" s="474" t="s">
        <v>878</v>
      </c>
      <c r="B47" s="744"/>
      <c r="C47" s="744"/>
    </row>
    <row r="48" spans="1:3" s="352" customFormat="1" x14ac:dyDescent="0.25">
      <c r="A48" s="475" t="s">
        <v>115</v>
      </c>
      <c r="B48" s="745">
        <f>SUM(B25:B47)</f>
        <v>40000</v>
      </c>
      <c r="C48" s="746"/>
    </row>
  </sheetData>
  <mergeCells count="32">
    <mergeCell ref="A1:G1"/>
    <mergeCell ref="A3:A4"/>
    <mergeCell ref="B3:G3"/>
    <mergeCell ref="A17:E17"/>
    <mergeCell ref="A19:A20"/>
    <mergeCell ref="B19:E19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A43"/>
    <mergeCell ref="B42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X9"/>
  <sheetViews>
    <sheetView view="pageBreakPreview" zoomScaleSheetLayoutView="100" workbookViewId="0">
      <selection activeCell="AU8" sqref="AU8"/>
    </sheetView>
  </sheetViews>
  <sheetFormatPr defaultColWidth="9.140625" defaultRowHeight="15" x14ac:dyDescent="0.25"/>
  <cols>
    <col min="1" max="1" width="22.28515625" style="9" customWidth="1"/>
    <col min="2" max="2" width="10.140625" style="9" customWidth="1"/>
    <col min="3" max="3" width="9.7109375" style="9" customWidth="1"/>
    <col min="4" max="4" width="13.28515625" style="9" customWidth="1"/>
    <col min="5" max="5" width="10.5703125" style="9" customWidth="1"/>
    <col min="6" max="6" width="9.140625" style="9"/>
    <col min="7" max="7" width="12.85546875" style="9" customWidth="1"/>
    <col min="8" max="8" width="10.5703125" style="9" customWidth="1"/>
    <col min="9" max="9" width="9.140625" style="9"/>
    <col min="10" max="10" width="14.42578125" style="9" customWidth="1"/>
    <col min="11" max="12" width="9.140625" style="9"/>
    <col min="13" max="13" width="13.42578125" style="9" customWidth="1"/>
    <col min="14" max="14" width="11" style="9" customWidth="1"/>
    <col min="15" max="15" width="9.140625" style="9"/>
    <col min="16" max="16" width="14.7109375" style="9" customWidth="1"/>
    <col min="17" max="17" width="10.28515625" style="9" customWidth="1"/>
    <col min="18" max="18" width="9.140625" style="9"/>
    <col min="19" max="19" width="13.140625" style="9" customWidth="1"/>
    <col min="20" max="20" width="10.28515625" style="9" customWidth="1"/>
    <col min="21" max="21" width="9.140625" style="9"/>
    <col min="22" max="22" width="12.85546875" style="9" customWidth="1"/>
    <col min="23" max="23" width="11.140625" style="9" customWidth="1"/>
    <col min="24" max="24" width="9.140625" style="9"/>
    <col min="25" max="25" width="13.5703125" style="9" customWidth="1"/>
    <col min="26" max="26" width="10.7109375" style="9" customWidth="1"/>
    <col min="27" max="27" width="9.140625" style="9"/>
    <col min="28" max="28" width="14" style="9" customWidth="1"/>
    <col min="29" max="29" width="11.42578125" style="9" customWidth="1"/>
    <col min="30" max="30" width="9.140625" style="9"/>
    <col min="31" max="31" width="14.7109375" style="9" customWidth="1"/>
    <col min="32" max="32" width="10.7109375" style="9" customWidth="1"/>
    <col min="33" max="33" width="9.140625" style="9"/>
    <col min="34" max="34" width="13.85546875" style="9" customWidth="1"/>
    <col min="35" max="35" width="9.140625" style="9"/>
    <col min="36" max="36" width="10.28515625" style="9" customWidth="1"/>
    <col min="37" max="37" width="14.7109375" style="9" customWidth="1"/>
    <col min="38" max="39" width="9.140625" style="9"/>
    <col min="40" max="40" width="13" style="9" customWidth="1"/>
    <col min="41" max="42" width="9.140625" style="9"/>
    <col min="43" max="43" width="14" style="9" customWidth="1"/>
    <col min="44" max="45" width="9.140625" style="9"/>
    <col min="46" max="46" width="13.140625" style="9" customWidth="1"/>
    <col min="47" max="49" width="13.140625" style="71" customWidth="1"/>
    <col min="50" max="50" width="15.5703125" style="9" customWidth="1"/>
    <col min="51" max="51" width="11.140625" style="9" bestFit="1" customWidth="1"/>
    <col min="52" max="16384" width="9.140625" style="9"/>
  </cols>
  <sheetData>
    <row r="2" spans="1:50" x14ac:dyDescent="0.25">
      <c r="B2" s="18" t="s">
        <v>542</v>
      </c>
      <c r="C2" s="18"/>
      <c r="D2" s="18"/>
      <c r="E2" s="18"/>
      <c r="F2" s="18"/>
      <c r="G2" s="18"/>
    </row>
    <row r="3" spans="1:50" x14ac:dyDescent="0.25">
      <c r="B3" s="11"/>
      <c r="C3" s="11"/>
      <c r="D3" s="11"/>
      <c r="E3" s="11"/>
      <c r="F3" s="11"/>
      <c r="G3" s="11"/>
    </row>
    <row r="4" spans="1:50" x14ac:dyDescent="0.25">
      <c r="A4" s="735" t="s">
        <v>23</v>
      </c>
      <c r="B4" s="757" t="s">
        <v>24</v>
      </c>
      <c r="C4" s="757"/>
      <c r="D4" s="758"/>
      <c r="E4" s="757" t="s">
        <v>25</v>
      </c>
      <c r="F4" s="757"/>
      <c r="G4" s="758"/>
      <c r="H4" s="757" t="s">
        <v>26</v>
      </c>
      <c r="I4" s="757"/>
      <c r="J4" s="758"/>
      <c r="K4" s="757" t="s">
        <v>27</v>
      </c>
      <c r="L4" s="757"/>
      <c r="M4" s="758"/>
      <c r="N4" s="757" t="s">
        <v>28</v>
      </c>
      <c r="O4" s="757"/>
      <c r="P4" s="758"/>
      <c r="Q4" s="757" t="s">
        <v>29</v>
      </c>
      <c r="R4" s="757"/>
      <c r="S4" s="758"/>
      <c r="T4" s="757" t="s">
        <v>30</v>
      </c>
      <c r="U4" s="757"/>
      <c r="V4" s="758"/>
      <c r="W4" s="757" t="s">
        <v>31</v>
      </c>
      <c r="X4" s="757"/>
      <c r="Y4" s="758"/>
      <c r="Z4" s="757" t="s">
        <v>32</v>
      </c>
      <c r="AA4" s="757"/>
      <c r="AB4" s="758"/>
      <c r="AC4" s="757" t="s">
        <v>33</v>
      </c>
      <c r="AD4" s="757"/>
      <c r="AE4" s="758"/>
      <c r="AF4" s="757" t="s">
        <v>34</v>
      </c>
      <c r="AG4" s="757"/>
      <c r="AH4" s="758"/>
      <c r="AI4" s="757" t="s">
        <v>35</v>
      </c>
      <c r="AJ4" s="757"/>
      <c r="AK4" s="758"/>
      <c r="AL4" s="757" t="s">
        <v>36</v>
      </c>
      <c r="AM4" s="757"/>
      <c r="AN4" s="758"/>
      <c r="AO4" s="757" t="s">
        <v>37</v>
      </c>
      <c r="AP4" s="757"/>
      <c r="AQ4" s="758"/>
      <c r="AR4" s="757" t="s">
        <v>38</v>
      </c>
      <c r="AS4" s="757"/>
      <c r="AT4" s="758"/>
      <c r="AU4" s="757" t="s">
        <v>166</v>
      </c>
      <c r="AV4" s="757"/>
      <c r="AW4" s="758"/>
      <c r="AX4" s="756" t="s">
        <v>4</v>
      </c>
    </row>
    <row r="5" spans="1:50" ht="38.25" x14ac:dyDescent="0.25">
      <c r="A5" s="736"/>
      <c r="B5" s="12" t="s">
        <v>39</v>
      </c>
      <c r="C5" s="13" t="s">
        <v>226</v>
      </c>
      <c r="D5" s="13" t="s">
        <v>41</v>
      </c>
      <c r="E5" s="12" t="s">
        <v>39</v>
      </c>
      <c r="F5" s="73" t="s">
        <v>226</v>
      </c>
      <c r="G5" s="13" t="s">
        <v>41</v>
      </c>
      <c r="H5" s="12" t="s">
        <v>39</v>
      </c>
      <c r="I5" s="73" t="s">
        <v>226</v>
      </c>
      <c r="J5" s="13" t="s">
        <v>41</v>
      </c>
      <c r="K5" s="12" t="s">
        <v>39</v>
      </c>
      <c r="L5" s="73" t="s">
        <v>226</v>
      </c>
      <c r="M5" s="13" t="s">
        <v>41</v>
      </c>
      <c r="N5" s="12" t="s">
        <v>39</v>
      </c>
      <c r="O5" s="73" t="s">
        <v>226</v>
      </c>
      <c r="P5" s="13" t="s">
        <v>41</v>
      </c>
      <c r="Q5" s="12" t="s">
        <v>39</v>
      </c>
      <c r="R5" s="73" t="s">
        <v>226</v>
      </c>
      <c r="S5" s="13" t="s">
        <v>41</v>
      </c>
      <c r="T5" s="12" t="s">
        <v>39</v>
      </c>
      <c r="U5" s="73" t="s">
        <v>226</v>
      </c>
      <c r="V5" s="13" t="s">
        <v>41</v>
      </c>
      <c r="W5" s="12" t="s">
        <v>42</v>
      </c>
      <c r="X5" s="73" t="s">
        <v>226</v>
      </c>
      <c r="Y5" s="13" t="s">
        <v>41</v>
      </c>
      <c r="Z5" s="12" t="s">
        <v>43</v>
      </c>
      <c r="AA5" s="73" t="s">
        <v>226</v>
      </c>
      <c r="AB5" s="13" t="s">
        <v>41</v>
      </c>
      <c r="AC5" s="12" t="s">
        <v>43</v>
      </c>
      <c r="AD5" s="73" t="s">
        <v>226</v>
      </c>
      <c r="AE5" s="13" t="s">
        <v>41</v>
      </c>
      <c r="AF5" s="12" t="s">
        <v>43</v>
      </c>
      <c r="AG5" s="73" t="s">
        <v>226</v>
      </c>
      <c r="AH5" s="13" t="s">
        <v>41</v>
      </c>
      <c r="AI5" s="12" t="s">
        <v>43</v>
      </c>
      <c r="AJ5" s="73" t="s">
        <v>226</v>
      </c>
      <c r="AK5" s="13" t="s">
        <v>41</v>
      </c>
      <c r="AL5" s="12" t="s">
        <v>43</v>
      </c>
      <c r="AM5" s="73" t="s">
        <v>226</v>
      </c>
      <c r="AN5" s="13" t="s">
        <v>41</v>
      </c>
      <c r="AO5" s="12" t="s">
        <v>43</v>
      </c>
      <c r="AP5" s="73" t="s">
        <v>226</v>
      </c>
      <c r="AQ5" s="13" t="s">
        <v>41</v>
      </c>
      <c r="AR5" s="12" t="s">
        <v>43</v>
      </c>
      <c r="AS5" s="73" t="s">
        <v>226</v>
      </c>
      <c r="AT5" s="13" t="s">
        <v>41</v>
      </c>
      <c r="AU5" s="72" t="s">
        <v>43</v>
      </c>
      <c r="AV5" s="73" t="s">
        <v>226</v>
      </c>
      <c r="AW5" s="73" t="s">
        <v>41</v>
      </c>
      <c r="AX5" s="756"/>
    </row>
    <row r="6" spans="1:50" x14ac:dyDescent="0.25">
      <c r="A6" s="16" t="s">
        <v>16</v>
      </c>
      <c r="B6" s="14"/>
      <c r="C6" s="14">
        <v>350</v>
      </c>
      <c r="D6" s="15">
        <f t="shared" ref="D6" si="0">B6*C6</f>
        <v>0</v>
      </c>
      <c r="E6" s="14">
        <f t="shared" ref="E6" si="1">B6</f>
        <v>0</v>
      </c>
      <c r="F6" s="14">
        <v>350</v>
      </c>
      <c r="G6" s="15">
        <f t="shared" ref="G6" si="2">E6*F6</f>
        <v>0</v>
      </c>
      <c r="H6" s="14">
        <f t="shared" ref="H6" si="3">E6</f>
        <v>0</v>
      </c>
      <c r="I6" s="14">
        <v>350</v>
      </c>
      <c r="J6" s="15">
        <f t="shared" ref="J6" si="4">H6*I6</f>
        <v>0</v>
      </c>
      <c r="K6" s="14">
        <f t="shared" ref="K6" si="5">H6</f>
        <v>0</v>
      </c>
      <c r="L6" s="14">
        <v>350</v>
      </c>
      <c r="M6" s="15">
        <f t="shared" ref="M6" si="6">K6*L6</f>
        <v>0</v>
      </c>
      <c r="N6" s="14">
        <f t="shared" ref="N6" si="7">K6</f>
        <v>0</v>
      </c>
      <c r="O6" s="14">
        <v>350</v>
      </c>
      <c r="P6" s="15">
        <f t="shared" ref="P6" si="8">N6*O6</f>
        <v>0</v>
      </c>
      <c r="Q6" s="14">
        <f t="shared" ref="Q6" si="9">N6</f>
        <v>0</v>
      </c>
      <c r="R6" s="14">
        <v>350</v>
      </c>
      <c r="S6" s="15">
        <f t="shared" ref="S6" si="10">Q6*R6</f>
        <v>0</v>
      </c>
      <c r="T6" s="14">
        <f t="shared" ref="T6" si="11">Q6</f>
        <v>0</v>
      </c>
      <c r="U6" s="14">
        <v>350</v>
      </c>
      <c r="V6" s="15">
        <f t="shared" ref="V6" si="12">T6*U6</f>
        <v>0</v>
      </c>
      <c r="W6" s="14"/>
      <c r="X6" s="14">
        <v>380</v>
      </c>
      <c r="Y6" s="15">
        <f t="shared" ref="Y6" si="13">W6*X6</f>
        <v>0</v>
      </c>
      <c r="Z6" s="14">
        <f t="shared" ref="Z6" si="14">T6</f>
        <v>0</v>
      </c>
      <c r="AA6" s="14">
        <v>350</v>
      </c>
      <c r="AB6" s="15">
        <f t="shared" ref="AB6" si="15">Z6*AA6</f>
        <v>0</v>
      </c>
      <c r="AC6" s="14">
        <f t="shared" ref="AC6" si="16">Z6</f>
        <v>0</v>
      </c>
      <c r="AD6" s="14">
        <v>400</v>
      </c>
      <c r="AE6" s="15">
        <f t="shared" ref="AE6" si="17">AC6*AD6</f>
        <v>0</v>
      </c>
      <c r="AF6" s="14">
        <f t="shared" ref="AF6" si="18">AC6</f>
        <v>0</v>
      </c>
      <c r="AG6" s="14">
        <v>200</v>
      </c>
      <c r="AH6" s="15">
        <f t="shared" ref="AH6" si="19">AF6*AG6</f>
        <v>0</v>
      </c>
      <c r="AI6" s="14">
        <f t="shared" ref="AI6" si="20">AF6</f>
        <v>0</v>
      </c>
      <c r="AJ6" s="14">
        <v>470</v>
      </c>
      <c r="AK6" s="15">
        <f t="shared" ref="AK6" si="21">AI6*AJ6</f>
        <v>0</v>
      </c>
      <c r="AL6" s="14">
        <f t="shared" ref="AL6" si="22">AI6</f>
        <v>0</v>
      </c>
      <c r="AM6" s="14">
        <v>640</v>
      </c>
      <c r="AN6" s="15">
        <f t="shared" ref="AN6" si="23">AL6*AM6</f>
        <v>0</v>
      </c>
      <c r="AO6" s="14">
        <f t="shared" ref="AO6" si="24">AL6</f>
        <v>0</v>
      </c>
      <c r="AP6" s="14">
        <v>350</v>
      </c>
      <c r="AQ6" s="15">
        <f t="shared" ref="AQ6" si="25">AO6*AP6</f>
        <v>0</v>
      </c>
      <c r="AR6" s="14">
        <f t="shared" ref="AR6" si="26">AO6</f>
        <v>0</v>
      </c>
      <c r="AS6" s="14">
        <v>350</v>
      </c>
      <c r="AT6" s="15">
        <f>AR6*AS6</f>
        <v>0</v>
      </c>
      <c r="AU6" s="74"/>
      <c r="AV6" s="74">
        <v>1200</v>
      </c>
      <c r="AW6" s="75">
        <f>AU6*AV6</f>
        <v>0</v>
      </c>
      <c r="AX6" s="15">
        <f>(AT6+AQ6+AN6+AK6+AH6+AE6+AB6+Y6+V6+S6+P6+M6+J6+G6+D6+AW6)</f>
        <v>0</v>
      </c>
    </row>
    <row r="7" spans="1:50" x14ac:dyDescent="0.25">
      <c r="A7" s="16" t="s">
        <v>3</v>
      </c>
      <c r="B7" s="133"/>
      <c r="C7" s="133">
        <v>350</v>
      </c>
      <c r="D7" s="75">
        <f t="shared" ref="D7:D8" si="27">B7*C7</f>
        <v>0</v>
      </c>
      <c r="E7" s="133">
        <f t="shared" ref="E7:E8" si="28">B7</f>
        <v>0</v>
      </c>
      <c r="F7" s="133">
        <v>351</v>
      </c>
      <c r="G7" s="75">
        <f t="shared" ref="G7:G8" si="29">E7*F7</f>
        <v>0</v>
      </c>
      <c r="H7" s="133">
        <f t="shared" ref="H7:H8" si="30">E7</f>
        <v>0</v>
      </c>
      <c r="I7" s="133">
        <v>351</v>
      </c>
      <c r="J7" s="75">
        <f t="shared" ref="J7:J8" si="31">H7*I7</f>
        <v>0</v>
      </c>
      <c r="K7" s="133">
        <f t="shared" ref="K7:K8" si="32">H7</f>
        <v>0</v>
      </c>
      <c r="L7" s="133">
        <v>351</v>
      </c>
      <c r="M7" s="75">
        <f t="shared" ref="M7:M8" si="33">K7*L7</f>
        <v>0</v>
      </c>
      <c r="N7" s="133">
        <f t="shared" ref="N7:N8" si="34">K7</f>
        <v>0</v>
      </c>
      <c r="O7" s="133">
        <v>351</v>
      </c>
      <c r="P7" s="75">
        <f t="shared" ref="P7:P8" si="35">N7*O7</f>
        <v>0</v>
      </c>
      <c r="Q7" s="133">
        <f t="shared" ref="Q7:Q8" si="36">N7</f>
        <v>0</v>
      </c>
      <c r="R7" s="133">
        <v>351</v>
      </c>
      <c r="S7" s="75">
        <f t="shared" ref="S7:S8" si="37">Q7*R7</f>
        <v>0</v>
      </c>
      <c r="T7" s="133">
        <f t="shared" ref="T7:T8" si="38">Q7</f>
        <v>0</v>
      </c>
      <c r="U7" s="133">
        <v>351</v>
      </c>
      <c r="V7" s="75">
        <f t="shared" ref="V7:V8" si="39">T7*U7</f>
        <v>0</v>
      </c>
      <c r="W7" s="133"/>
      <c r="X7" s="133">
        <v>380</v>
      </c>
      <c r="Y7" s="75">
        <f t="shared" ref="Y7:Y8" si="40">W7*X7</f>
        <v>0</v>
      </c>
      <c r="Z7" s="133">
        <f t="shared" ref="Z7:Z8" si="41">T7</f>
        <v>0</v>
      </c>
      <c r="AA7" s="133">
        <v>351</v>
      </c>
      <c r="AB7" s="75">
        <f t="shared" ref="AB7:AB8" si="42">Z7*AA7</f>
        <v>0</v>
      </c>
      <c r="AC7" s="133">
        <f t="shared" ref="AC7:AC8" si="43">Z7</f>
        <v>0</v>
      </c>
      <c r="AD7" s="133">
        <v>401</v>
      </c>
      <c r="AE7" s="75">
        <f t="shared" ref="AE7:AE8" si="44">AC7*AD7</f>
        <v>0</v>
      </c>
      <c r="AF7" s="133">
        <f t="shared" ref="AF7:AF8" si="45">AC7</f>
        <v>0</v>
      </c>
      <c r="AG7" s="133">
        <v>201</v>
      </c>
      <c r="AH7" s="75">
        <f t="shared" ref="AH7:AH8" si="46">AF7*AG7</f>
        <v>0</v>
      </c>
      <c r="AI7" s="133">
        <f t="shared" ref="AI7:AI8" si="47">AF7</f>
        <v>0</v>
      </c>
      <c r="AJ7" s="133">
        <v>471</v>
      </c>
      <c r="AK7" s="75">
        <f t="shared" ref="AK7:AK8" si="48">AI7*AJ7</f>
        <v>0</v>
      </c>
      <c r="AL7" s="133">
        <f t="shared" ref="AL7:AL8" si="49">AI7</f>
        <v>0</v>
      </c>
      <c r="AM7" s="133">
        <v>641</v>
      </c>
      <c r="AN7" s="75">
        <f t="shared" ref="AN7:AN8" si="50">AL7*AM7</f>
        <v>0</v>
      </c>
      <c r="AO7" s="133">
        <f t="shared" ref="AO7:AO8" si="51">AL7</f>
        <v>0</v>
      </c>
      <c r="AP7" s="133">
        <v>351</v>
      </c>
      <c r="AQ7" s="75">
        <f t="shared" ref="AQ7:AQ8" si="52">AO7*AP7</f>
        <v>0</v>
      </c>
      <c r="AR7" s="133">
        <f t="shared" ref="AR7:AR8" si="53">AO7</f>
        <v>0</v>
      </c>
      <c r="AS7" s="133">
        <v>351</v>
      </c>
      <c r="AT7" s="75">
        <f t="shared" ref="AT7:AT8" si="54">AR7*AS7</f>
        <v>0</v>
      </c>
      <c r="AU7" s="133"/>
      <c r="AV7" s="133">
        <v>1200</v>
      </c>
      <c r="AW7" s="75">
        <f t="shared" ref="AW7:AW8" si="55">AU7*AV7</f>
        <v>0</v>
      </c>
      <c r="AX7" s="75">
        <f>(AT7+AQ7+AN7+AK7+AH7+AE7+AB7+Y7+V7+S7+P7+M7+J7+G7+D7+AW7)*1.037*1.04</f>
        <v>0</v>
      </c>
    </row>
    <row r="8" spans="1:50" x14ac:dyDescent="0.25">
      <c r="A8" s="16" t="s">
        <v>5</v>
      </c>
      <c r="B8" s="133"/>
      <c r="C8" s="133">
        <v>350</v>
      </c>
      <c r="D8" s="75">
        <f t="shared" si="27"/>
        <v>0</v>
      </c>
      <c r="E8" s="133">
        <f t="shared" si="28"/>
        <v>0</v>
      </c>
      <c r="F8" s="133">
        <v>352</v>
      </c>
      <c r="G8" s="75">
        <f t="shared" si="29"/>
        <v>0</v>
      </c>
      <c r="H8" s="133">
        <f t="shared" si="30"/>
        <v>0</v>
      </c>
      <c r="I8" s="133">
        <v>352</v>
      </c>
      <c r="J8" s="75">
        <f t="shared" si="31"/>
        <v>0</v>
      </c>
      <c r="K8" s="133">
        <f t="shared" si="32"/>
        <v>0</v>
      </c>
      <c r="L8" s="133">
        <v>352</v>
      </c>
      <c r="M8" s="75">
        <f t="shared" si="33"/>
        <v>0</v>
      </c>
      <c r="N8" s="133">
        <f t="shared" si="34"/>
        <v>0</v>
      </c>
      <c r="O8" s="133">
        <v>352</v>
      </c>
      <c r="P8" s="75">
        <f t="shared" si="35"/>
        <v>0</v>
      </c>
      <c r="Q8" s="133">
        <f t="shared" si="36"/>
        <v>0</v>
      </c>
      <c r="R8" s="133">
        <v>352</v>
      </c>
      <c r="S8" s="75">
        <f t="shared" si="37"/>
        <v>0</v>
      </c>
      <c r="T8" s="133">
        <f t="shared" si="38"/>
        <v>0</v>
      </c>
      <c r="U8" s="133">
        <v>352</v>
      </c>
      <c r="V8" s="75">
        <f t="shared" si="39"/>
        <v>0</v>
      </c>
      <c r="W8" s="133"/>
      <c r="X8" s="133">
        <v>380</v>
      </c>
      <c r="Y8" s="75">
        <f t="shared" si="40"/>
        <v>0</v>
      </c>
      <c r="Z8" s="133">
        <f t="shared" si="41"/>
        <v>0</v>
      </c>
      <c r="AA8" s="133">
        <v>352</v>
      </c>
      <c r="AB8" s="75">
        <f t="shared" si="42"/>
        <v>0</v>
      </c>
      <c r="AC8" s="133">
        <f t="shared" si="43"/>
        <v>0</v>
      </c>
      <c r="AD8" s="133">
        <v>402</v>
      </c>
      <c r="AE8" s="75">
        <f t="shared" si="44"/>
        <v>0</v>
      </c>
      <c r="AF8" s="133">
        <f t="shared" si="45"/>
        <v>0</v>
      </c>
      <c r="AG8" s="133">
        <v>202</v>
      </c>
      <c r="AH8" s="75">
        <f t="shared" si="46"/>
        <v>0</v>
      </c>
      <c r="AI8" s="133">
        <f t="shared" si="47"/>
        <v>0</v>
      </c>
      <c r="AJ8" s="133">
        <v>472</v>
      </c>
      <c r="AK8" s="75">
        <f t="shared" si="48"/>
        <v>0</v>
      </c>
      <c r="AL8" s="133">
        <f t="shared" si="49"/>
        <v>0</v>
      </c>
      <c r="AM8" s="133">
        <v>642</v>
      </c>
      <c r="AN8" s="75">
        <f t="shared" si="50"/>
        <v>0</v>
      </c>
      <c r="AO8" s="133">
        <f t="shared" si="51"/>
        <v>0</v>
      </c>
      <c r="AP8" s="133">
        <v>352</v>
      </c>
      <c r="AQ8" s="75">
        <f t="shared" si="52"/>
        <v>0</v>
      </c>
      <c r="AR8" s="133">
        <f t="shared" si="53"/>
        <v>0</v>
      </c>
      <c r="AS8" s="133">
        <v>352</v>
      </c>
      <c r="AT8" s="75">
        <f t="shared" si="54"/>
        <v>0</v>
      </c>
      <c r="AU8" s="133"/>
      <c r="AV8" s="133">
        <v>1200</v>
      </c>
      <c r="AW8" s="75">
        <f t="shared" si="55"/>
        <v>0</v>
      </c>
      <c r="AX8" s="75">
        <f>(AT8+AQ8+AN8+AK8+AH8+AE8+AB8+Y8+V8+S8+P8+M8+J8+G8+D8+AW8)*1.037*1.04*1.04</f>
        <v>0</v>
      </c>
    </row>
    <row r="9" spans="1:50" x14ac:dyDescent="0.25">
      <c r="M9" s="17"/>
      <c r="P9" s="17"/>
    </row>
  </sheetData>
  <mergeCells count="18">
    <mergeCell ref="A4:A5"/>
    <mergeCell ref="B4:D4"/>
    <mergeCell ref="E4:G4"/>
    <mergeCell ref="H4:J4"/>
    <mergeCell ref="K4:M4"/>
    <mergeCell ref="AX4:AX5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6"/>
  <sheetViews>
    <sheetView view="pageBreakPreview" zoomScaleSheetLayoutView="100" workbookViewId="0">
      <selection sqref="A1:F1"/>
    </sheetView>
  </sheetViews>
  <sheetFormatPr defaultRowHeight="15" x14ac:dyDescent="0.25"/>
  <cols>
    <col min="1" max="1" width="29.28515625" customWidth="1"/>
    <col min="2" max="3" width="16.85546875" customWidth="1"/>
    <col min="4" max="4" width="19.28515625" customWidth="1"/>
    <col min="5" max="5" width="18.7109375" customWidth="1"/>
    <col min="6" max="6" width="18.42578125" customWidth="1"/>
    <col min="7" max="7" width="16.85546875" customWidth="1"/>
  </cols>
  <sheetData>
    <row r="1" spans="1:6" x14ac:dyDescent="0.25">
      <c r="A1" s="739" t="s">
        <v>12</v>
      </c>
      <c r="B1" s="739"/>
      <c r="C1" s="739"/>
      <c r="D1" s="739"/>
      <c r="E1" s="739"/>
      <c r="F1" s="739"/>
    </row>
    <row r="3" spans="1:6" ht="25.5" customHeight="1" x14ac:dyDescent="0.25">
      <c r="A3" s="740" t="s">
        <v>0</v>
      </c>
      <c r="B3" s="759" t="s">
        <v>13</v>
      </c>
      <c r="C3" s="740"/>
      <c r="D3" s="740"/>
      <c r="E3" s="740"/>
      <c r="F3" s="740"/>
    </row>
    <row r="4" spans="1:6" x14ac:dyDescent="0.25">
      <c r="A4" s="740"/>
      <c r="B4" s="1" t="s">
        <v>225</v>
      </c>
      <c r="C4" s="1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99"/>
      <c r="B5" s="85"/>
      <c r="C5" s="86"/>
      <c r="D5" s="5">
        <f>B5*C5</f>
        <v>0</v>
      </c>
      <c r="E5" s="3">
        <f>D5*1.04</f>
        <v>0</v>
      </c>
      <c r="F5" s="3">
        <f>E5*1.04</f>
        <v>0</v>
      </c>
    </row>
    <row r="6" spans="1:6" x14ac:dyDescent="0.25">
      <c r="A6" s="99"/>
      <c r="B6" s="85"/>
      <c r="C6" s="86"/>
      <c r="D6" s="87">
        <f t="shared" ref="D6:D7" si="0">B6*C6</f>
        <v>0</v>
      </c>
      <c r="E6" s="85">
        <f t="shared" ref="E6:F6" si="1">D6*1.04</f>
        <v>0</v>
      </c>
      <c r="F6" s="85">
        <f t="shared" si="1"/>
        <v>0</v>
      </c>
    </row>
    <row r="7" spans="1:6" x14ac:dyDescent="0.25">
      <c r="A7" s="99"/>
      <c r="B7" s="85"/>
      <c r="C7" s="86"/>
      <c r="D7" s="87">
        <f t="shared" si="0"/>
        <v>0</v>
      </c>
      <c r="E7" s="85">
        <f t="shared" ref="E7:F7" si="2">D7*1.04</f>
        <v>0</v>
      </c>
      <c r="F7" s="85">
        <f t="shared" si="2"/>
        <v>0</v>
      </c>
    </row>
    <row r="8" spans="1:6" x14ac:dyDescent="0.25">
      <c r="A8" s="1"/>
      <c r="B8" s="3"/>
      <c r="C8" s="4"/>
      <c r="D8" s="5">
        <f t="shared" ref="D8:D15" si="3">B8*C8*1.042</f>
        <v>0</v>
      </c>
      <c r="E8" s="3"/>
      <c r="F8" s="3"/>
    </row>
    <row r="9" spans="1:6" hidden="1" x14ac:dyDescent="0.25">
      <c r="A9" s="1"/>
      <c r="B9" s="3"/>
      <c r="C9" s="4"/>
      <c r="D9" s="5">
        <f t="shared" si="3"/>
        <v>0</v>
      </c>
      <c r="E9" s="3"/>
      <c r="F9" s="3"/>
    </row>
    <row r="10" spans="1:6" hidden="1" x14ac:dyDescent="0.25">
      <c r="A10" s="1"/>
      <c r="B10" s="3"/>
      <c r="C10" s="4"/>
      <c r="D10" s="5">
        <f t="shared" si="3"/>
        <v>0</v>
      </c>
      <c r="E10" s="3"/>
      <c r="F10" s="3"/>
    </row>
    <row r="11" spans="1:6" hidden="1" x14ac:dyDescent="0.25">
      <c r="A11" s="1"/>
      <c r="B11" s="3"/>
      <c r="C11" s="4"/>
      <c r="D11" s="5">
        <f t="shared" si="3"/>
        <v>0</v>
      </c>
      <c r="E11" s="3"/>
      <c r="F11" s="3"/>
    </row>
    <row r="12" spans="1:6" hidden="1" x14ac:dyDescent="0.25">
      <c r="A12" s="1"/>
      <c r="B12" s="3"/>
      <c r="C12" s="4"/>
      <c r="D12" s="5">
        <f t="shared" si="3"/>
        <v>0</v>
      </c>
      <c r="E12" s="3"/>
      <c r="F12" s="3"/>
    </row>
    <row r="13" spans="1:6" hidden="1" x14ac:dyDescent="0.25">
      <c r="A13" s="1"/>
      <c r="B13" s="3"/>
      <c r="C13" s="4"/>
      <c r="D13" s="5">
        <f t="shared" si="3"/>
        <v>0</v>
      </c>
      <c r="E13" s="3"/>
      <c r="F13" s="3"/>
    </row>
    <row r="14" spans="1:6" hidden="1" x14ac:dyDescent="0.25">
      <c r="A14" s="1"/>
      <c r="B14" s="3"/>
      <c r="C14" s="4"/>
      <c r="D14" s="5">
        <f t="shared" si="3"/>
        <v>0</v>
      </c>
      <c r="E14" s="3"/>
      <c r="F14" s="3"/>
    </row>
    <row r="15" spans="1:6" hidden="1" x14ac:dyDescent="0.25">
      <c r="A15" s="1"/>
      <c r="B15" s="1"/>
      <c r="C15" s="1"/>
      <c r="D15" s="5">
        <f t="shared" si="3"/>
        <v>0</v>
      </c>
      <c r="E15" s="3"/>
      <c r="F15" s="3"/>
    </row>
    <row r="16" spans="1:6" x14ac:dyDescent="0.25">
      <c r="A16" s="1" t="s">
        <v>4</v>
      </c>
      <c r="B16" s="3"/>
      <c r="C16" s="6">
        <f>SUM(C5:C15)</f>
        <v>0</v>
      </c>
      <c r="D16" s="7">
        <f t="shared" ref="D16:F16" si="4">SUM(D5:D15)</f>
        <v>0</v>
      </c>
      <c r="E16" s="7">
        <f t="shared" si="4"/>
        <v>0</v>
      </c>
      <c r="F16" s="7">
        <f t="shared" si="4"/>
        <v>0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6"/>
  <sheetViews>
    <sheetView view="pageBreakPreview" zoomScaleSheetLayoutView="100" workbookViewId="0">
      <selection sqref="A1:F1"/>
    </sheetView>
  </sheetViews>
  <sheetFormatPr defaultRowHeight="15" x14ac:dyDescent="0.25"/>
  <cols>
    <col min="1" max="1" width="29.28515625" customWidth="1"/>
    <col min="2" max="2" width="8.5703125" bestFit="1" customWidth="1"/>
    <col min="3" max="3" width="11.5703125" bestFit="1" customWidth="1"/>
    <col min="4" max="4" width="13.140625" bestFit="1" customWidth="1"/>
    <col min="5" max="7" width="16.85546875" customWidth="1"/>
  </cols>
  <sheetData>
    <row r="1" spans="1:6" x14ac:dyDescent="0.25">
      <c r="A1" s="739" t="s">
        <v>10</v>
      </c>
      <c r="B1" s="739"/>
      <c r="C1" s="739"/>
      <c r="D1" s="739"/>
      <c r="E1" s="739"/>
      <c r="F1" s="739"/>
    </row>
    <row r="3" spans="1:6" x14ac:dyDescent="0.25">
      <c r="A3" s="740" t="s">
        <v>0</v>
      </c>
      <c r="B3" s="759" t="s">
        <v>543</v>
      </c>
      <c r="C3" s="740"/>
      <c r="D3" s="740"/>
      <c r="E3" s="740"/>
      <c r="F3" s="740"/>
    </row>
    <row r="4" spans="1:6" x14ac:dyDescent="0.25">
      <c r="A4" s="740"/>
      <c r="B4" s="1" t="s">
        <v>1</v>
      </c>
      <c r="C4" s="1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354"/>
      <c r="B5" s="356"/>
      <c r="C5" s="485"/>
      <c r="D5" s="5">
        <f>B5*C5</f>
        <v>0</v>
      </c>
      <c r="E5" s="3"/>
      <c r="F5" s="3"/>
    </row>
    <row r="6" spans="1:6" x14ac:dyDescent="0.25">
      <c r="A6" s="354"/>
      <c r="B6" s="402"/>
      <c r="C6" s="486"/>
      <c r="D6" s="5">
        <f t="shared" ref="D6:D15" si="0">B6*C6</f>
        <v>0</v>
      </c>
      <c r="E6" s="3"/>
      <c r="F6" s="3"/>
    </row>
    <row r="7" spans="1:6" x14ac:dyDescent="0.25">
      <c r="A7" s="82"/>
      <c r="B7" s="85"/>
      <c r="C7" s="86"/>
      <c r="D7" s="5">
        <f t="shared" si="0"/>
        <v>0</v>
      </c>
      <c r="E7" s="3"/>
      <c r="F7" s="3"/>
    </row>
    <row r="8" spans="1:6" x14ac:dyDescent="0.25">
      <c r="A8" s="1"/>
      <c r="B8" s="3"/>
      <c r="C8" s="4"/>
      <c r="D8" s="5">
        <f t="shared" si="0"/>
        <v>0</v>
      </c>
      <c r="E8" s="3"/>
      <c r="F8" s="3"/>
    </row>
    <row r="9" spans="1:6" hidden="1" x14ac:dyDescent="0.25">
      <c r="A9" s="1"/>
      <c r="B9" s="3"/>
      <c r="C9" s="4"/>
      <c r="D9" s="5">
        <f t="shared" si="0"/>
        <v>0</v>
      </c>
      <c r="E9" s="3"/>
      <c r="F9" s="3"/>
    </row>
    <row r="10" spans="1:6" hidden="1" x14ac:dyDescent="0.25">
      <c r="A10" s="1"/>
      <c r="B10" s="3"/>
      <c r="C10" s="4"/>
      <c r="D10" s="5">
        <f t="shared" si="0"/>
        <v>0</v>
      </c>
      <c r="E10" s="3"/>
      <c r="F10" s="3"/>
    </row>
    <row r="11" spans="1:6" hidden="1" x14ac:dyDescent="0.25">
      <c r="A11" s="1"/>
      <c r="B11" s="3"/>
      <c r="C11" s="4"/>
      <c r="D11" s="5">
        <f t="shared" si="0"/>
        <v>0</v>
      </c>
      <c r="E11" s="3"/>
      <c r="F11" s="3"/>
    </row>
    <row r="12" spans="1:6" hidden="1" x14ac:dyDescent="0.25">
      <c r="A12" s="1"/>
      <c r="B12" s="3"/>
      <c r="C12" s="4"/>
      <c r="D12" s="5">
        <f t="shared" si="0"/>
        <v>0</v>
      </c>
      <c r="E12" s="3"/>
      <c r="F12" s="3"/>
    </row>
    <row r="13" spans="1:6" hidden="1" x14ac:dyDescent="0.25">
      <c r="A13" s="1"/>
      <c r="B13" s="3"/>
      <c r="C13" s="4"/>
      <c r="D13" s="5">
        <f t="shared" si="0"/>
        <v>0</v>
      </c>
      <c r="E13" s="3"/>
      <c r="F13" s="3"/>
    </row>
    <row r="14" spans="1:6" hidden="1" x14ac:dyDescent="0.25">
      <c r="A14" s="1"/>
      <c r="B14" s="3"/>
      <c r="C14" s="4"/>
      <c r="D14" s="5">
        <f t="shared" si="0"/>
        <v>0</v>
      </c>
      <c r="E14" s="3"/>
      <c r="F14" s="3"/>
    </row>
    <row r="15" spans="1:6" hidden="1" x14ac:dyDescent="0.25">
      <c r="A15" s="1"/>
      <c r="B15" s="1"/>
      <c r="C15" s="1"/>
      <c r="D15" s="5">
        <f t="shared" si="0"/>
        <v>0</v>
      </c>
      <c r="E15" s="3"/>
      <c r="F15" s="3"/>
    </row>
    <row r="16" spans="1:6" x14ac:dyDescent="0.25">
      <c r="A16" s="1" t="s">
        <v>4</v>
      </c>
      <c r="B16" s="3"/>
      <c r="C16" s="6">
        <f>SUM(C5:C15)</f>
        <v>0</v>
      </c>
      <c r="D16" s="7">
        <f t="shared" ref="D16:F16" si="1">SUM(D5:D15)</f>
        <v>0</v>
      </c>
      <c r="E16" s="7">
        <f t="shared" si="1"/>
        <v>0</v>
      </c>
      <c r="F16" s="7">
        <f t="shared" si="1"/>
        <v>0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5"/>
  <sheetViews>
    <sheetView view="pageBreakPreview" zoomScaleSheetLayoutView="100" workbookViewId="0">
      <selection sqref="A1:F1"/>
    </sheetView>
  </sheetViews>
  <sheetFormatPr defaultRowHeight="15" x14ac:dyDescent="0.25"/>
  <cols>
    <col min="1" max="1" width="24.5703125" customWidth="1"/>
    <col min="2" max="2" width="10.140625" customWidth="1"/>
    <col min="3" max="3" width="12.140625" customWidth="1"/>
    <col min="4" max="4" width="17.85546875" customWidth="1"/>
    <col min="5" max="6" width="17.85546875" bestFit="1" customWidth="1"/>
    <col min="7" max="7" width="9.42578125" customWidth="1"/>
  </cols>
  <sheetData>
    <row r="1" spans="1:6" x14ac:dyDescent="0.25">
      <c r="A1" s="739" t="s">
        <v>8</v>
      </c>
      <c r="B1" s="739"/>
      <c r="C1" s="739"/>
      <c r="D1" s="739"/>
      <c r="E1" s="739"/>
      <c r="F1" s="739"/>
    </row>
    <row r="2" spans="1:6" x14ac:dyDescent="0.25">
      <c r="A2" s="8"/>
      <c r="B2" s="8"/>
      <c r="C2" s="8"/>
      <c r="D2" s="8"/>
      <c r="E2" s="8"/>
      <c r="F2" s="8"/>
    </row>
    <row r="3" spans="1:6" ht="38.25" customHeight="1" x14ac:dyDescent="0.25">
      <c r="A3" s="740" t="s">
        <v>0</v>
      </c>
      <c r="B3" s="740" t="s">
        <v>6</v>
      </c>
      <c r="C3" s="740"/>
      <c r="D3" s="740"/>
      <c r="E3" s="740"/>
      <c r="F3" s="740"/>
    </row>
    <row r="4" spans="1:6" x14ac:dyDescent="0.25">
      <c r="A4" s="740"/>
      <c r="B4" s="1" t="s">
        <v>1</v>
      </c>
      <c r="C4" s="1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76"/>
      <c r="B5" s="78"/>
      <c r="C5" s="77"/>
      <c r="D5" s="5">
        <f>B5*C5</f>
        <v>0</v>
      </c>
      <c r="E5" s="3">
        <f>D5*1.04</f>
        <v>0</v>
      </c>
      <c r="F5" s="3">
        <f>E5*1.04</f>
        <v>0</v>
      </c>
    </row>
    <row r="6" spans="1:6" x14ac:dyDescent="0.25">
      <c r="A6" s="76"/>
      <c r="B6" s="78"/>
      <c r="C6" s="77"/>
      <c r="D6" s="87">
        <f t="shared" ref="D6:D20" si="0">B6*C6</f>
        <v>0</v>
      </c>
      <c r="E6" s="85">
        <f t="shared" ref="E6:F6" si="1">D6*1.04</f>
        <v>0</v>
      </c>
      <c r="F6" s="85">
        <f t="shared" si="1"/>
        <v>0</v>
      </c>
    </row>
    <row r="7" spans="1:6" x14ac:dyDescent="0.25">
      <c r="A7" s="76"/>
      <c r="B7" s="78"/>
      <c r="C7" s="77"/>
      <c r="D7" s="87">
        <f t="shared" si="0"/>
        <v>0</v>
      </c>
      <c r="E7" s="85">
        <f t="shared" ref="E7:F7" si="2">D7*1.04</f>
        <v>0</v>
      </c>
      <c r="F7" s="85">
        <f t="shared" si="2"/>
        <v>0</v>
      </c>
    </row>
    <row r="8" spans="1:6" x14ac:dyDescent="0.25">
      <c r="A8" s="76"/>
      <c r="B8" s="78"/>
      <c r="C8" s="77"/>
      <c r="D8" s="87">
        <f t="shared" si="0"/>
        <v>0</v>
      </c>
      <c r="E8" s="85">
        <f t="shared" ref="E8:F8" si="3">D8*1.04</f>
        <v>0</v>
      </c>
      <c r="F8" s="85">
        <f t="shared" si="3"/>
        <v>0</v>
      </c>
    </row>
    <row r="9" spans="1:6" x14ac:dyDescent="0.25">
      <c r="A9" s="76"/>
      <c r="B9" s="78"/>
      <c r="C9" s="77"/>
      <c r="D9" s="87">
        <f t="shared" si="0"/>
        <v>0</v>
      </c>
      <c r="E9" s="85">
        <f t="shared" ref="E9:F9" si="4">D9*1.04</f>
        <v>0</v>
      </c>
      <c r="F9" s="85">
        <f t="shared" si="4"/>
        <v>0</v>
      </c>
    </row>
    <row r="10" spans="1:6" s="83" customFormat="1" x14ac:dyDescent="0.25">
      <c r="A10" s="76"/>
      <c r="B10" s="78"/>
      <c r="C10" s="77"/>
      <c r="D10" s="87">
        <f t="shared" si="0"/>
        <v>0</v>
      </c>
      <c r="E10" s="85">
        <f t="shared" ref="E10:F10" si="5">D10*1.04</f>
        <v>0</v>
      </c>
      <c r="F10" s="85">
        <f t="shared" si="5"/>
        <v>0</v>
      </c>
    </row>
    <row r="11" spans="1:6" x14ac:dyDescent="0.25">
      <c r="A11" s="76"/>
      <c r="B11" s="78"/>
      <c r="C11" s="77"/>
      <c r="D11" s="87">
        <f t="shared" si="0"/>
        <v>0</v>
      </c>
      <c r="E11" s="85">
        <f t="shared" ref="E11:F11" si="6">D11*1.04</f>
        <v>0</v>
      </c>
      <c r="F11" s="85">
        <f t="shared" si="6"/>
        <v>0</v>
      </c>
    </row>
    <row r="12" spans="1:6" s="83" customFormat="1" x14ac:dyDescent="0.25">
      <c r="A12" s="76"/>
      <c r="B12" s="78"/>
      <c r="C12" s="77"/>
      <c r="D12" s="87">
        <f t="shared" si="0"/>
        <v>0</v>
      </c>
      <c r="E12" s="85">
        <f t="shared" ref="E12:F12" si="7">D12*1.04</f>
        <v>0</v>
      </c>
      <c r="F12" s="85">
        <f t="shared" si="7"/>
        <v>0</v>
      </c>
    </row>
    <row r="13" spans="1:6" s="83" customFormat="1" x14ac:dyDescent="0.25">
      <c r="A13" s="76"/>
      <c r="B13" s="78"/>
      <c r="C13" s="77"/>
      <c r="D13" s="87">
        <f t="shared" si="0"/>
        <v>0</v>
      </c>
      <c r="E13" s="85">
        <f t="shared" ref="E13:F13" si="8">D13*1.04</f>
        <v>0</v>
      </c>
      <c r="F13" s="85">
        <f t="shared" si="8"/>
        <v>0</v>
      </c>
    </row>
    <row r="14" spans="1:6" s="83" customFormat="1" x14ac:dyDescent="0.25">
      <c r="A14" s="76"/>
      <c r="B14" s="78"/>
      <c r="C14" s="77"/>
      <c r="D14" s="87">
        <f t="shared" si="0"/>
        <v>0</v>
      </c>
      <c r="E14" s="85">
        <f t="shared" ref="E14:F14" si="9">D14*1.04</f>
        <v>0</v>
      </c>
      <c r="F14" s="85">
        <f t="shared" si="9"/>
        <v>0</v>
      </c>
    </row>
    <row r="15" spans="1:6" x14ac:dyDescent="0.25">
      <c r="A15" s="76"/>
      <c r="B15" s="78"/>
      <c r="C15" s="77"/>
      <c r="D15" s="87">
        <f t="shared" si="0"/>
        <v>0</v>
      </c>
      <c r="E15" s="85">
        <f t="shared" ref="E15:F15" si="10">D15*1.04</f>
        <v>0</v>
      </c>
      <c r="F15" s="85">
        <f t="shared" si="10"/>
        <v>0</v>
      </c>
    </row>
    <row r="16" spans="1:6" s="83" customFormat="1" x14ac:dyDescent="0.25">
      <c r="A16" s="76"/>
      <c r="B16" s="78"/>
      <c r="C16" s="77"/>
      <c r="D16" s="87">
        <f t="shared" si="0"/>
        <v>0</v>
      </c>
      <c r="E16" s="85">
        <f t="shared" ref="E16:F16" si="11">D16*1.04</f>
        <v>0</v>
      </c>
      <c r="F16" s="85">
        <f t="shared" si="11"/>
        <v>0</v>
      </c>
    </row>
    <row r="17" spans="1:6" s="83" customFormat="1" x14ac:dyDescent="0.25">
      <c r="A17" s="76"/>
      <c r="B17" s="78"/>
      <c r="C17" s="77"/>
      <c r="D17" s="87">
        <f t="shared" si="0"/>
        <v>0</v>
      </c>
      <c r="E17" s="85">
        <f t="shared" ref="E17:F17" si="12">D17*1.04</f>
        <v>0</v>
      </c>
      <c r="F17" s="85">
        <f t="shared" si="12"/>
        <v>0</v>
      </c>
    </row>
    <row r="18" spans="1:6" s="83" customFormat="1" x14ac:dyDescent="0.25">
      <c r="A18" s="76"/>
      <c r="B18" s="78"/>
      <c r="C18" s="77"/>
      <c r="D18" s="87">
        <f t="shared" si="0"/>
        <v>0</v>
      </c>
      <c r="E18" s="85">
        <f t="shared" ref="E18:F18" si="13">D18*1.04</f>
        <v>0</v>
      </c>
      <c r="F18" s="85">
        <f t="shared" si="13"/>
        <v>0</v>
      </c>
    </row>
    <row r="19" spans="1:6" x14ac:dyDescent="0.25">
      <c r="A19" s="84"/>
      <c r="B19" s="85"/>
      <c r="C19" s="86"/>
      <c r="D19" s="87">
        <f t="shared" si="0"/>
        <v>0</v>
      </c>
      <c r="E19" s="85">
        <f t="shared" ref="E19:F19" si="14">D19*1.04</f>
        <v>0</v>
      </c>
      <c r="F19" s="85">
        <f t="shared" si="14"/>
        <v>0</v>
      </c>
    </row>
    <row r="20" spans="1:6" x14ac:dyDescent="0.25">
      <c r="A20" s="84"/>
      <c r="B20" s="85"/>
      <c r="C20" s="86"/>
      <c r="D20" s="87">
        <f t="shared" si="0"/>
        <v>0</v>
      </c>
      <c r="E20" s="85">
        <f t="shared" ref="E20:F20" si="15">D20*1.04</f>
        <v>0</v>
      </c>
      <c r="F20" s="85">
        <f t="shared" si="15"/>
        <v>0</v>
      </c>
    </row>
    <row r="21" spans="1:6" x14ac:dyDescent="0.25">
      <c r="A21" s="1"/>
      <c r="B21" s="3"/>
      <c r="C21" s="4"/>
      <c r="D21" s="5">
        <f t="shared" ref="D21:D22" si="16">B21*C21*1.042</f>
        <v>0</v>
      </c>
      <c r="E21" s="3"/>
      <c r="F21" s="3"/>
    </row>
    <row r="22" spans="1:6" x14ac:dyDescent="0.25">
      <c r="A22" s="1"/>
      <c r="B22" s="1"/>
      <c r="C22" s="1"/>
      <c r="D22" s="5">
        <f t="shared" si="16"/>
        <v>0</v>
      </c>
      <c r="E22" s="3"/>
      <c r="F22" s="3"/>
    </row>
    <row r="23" spans="1:6" x14ac:dyDescent="0.25">
      <c r="A23" s="1" t="s">
        <v>4</v>
      </c>
      <c r="B23" s="3"/>
      <c r="C23" s="6">
        <f>SUM(C5:C22)</f>
        <v>0</v>
      </c>
      <c r="D23" s="7">
        <f t="shared" ref="D23:F23" si="17">SUM(D5:D22)</f>
        <v>0</v>
      </c>
      <c r="E23" s="7">
        <f t="shared" si="17"/>
        <v>0</v>
      </c>
      <c r="F23" s="7">
        <f t="shared" si="17"/>
        <v>0</v>
      </c>
    </row>
    <row r="24" spans="1:6" x14ac:dyDescent="0.25">
      <c r="A24" s="8"/>
      <c r="B24" s="8"/>
      <c r="C24" s="8"/>
      <c r="D24" s="8"/>
      <c r="E24" s="8"/>
      <c r="F24" s="8"/>
    </row>
    <row r="25" spans="1:6" x14ac:dyDescent="0.25">
      <c r="A25" s="8"/>
      <c r="B25" s="8"/>
      <c r="C25" s="8"/>
      <c r="D25" s="8"/>
      <c r="E25" s="8"/>
      <c r="F25" s="8"/>
    </row>
  </sheetData>
  <mergeCells count="3">
    <mergeCell ref="A3:A4"/>
    <mergeCell ref="B3:F3"/>
    <mergeCell ref="A1:F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4"/>
  <sheetViews>
    <sheetView view="pageBreakPreview" topLeftCell="A3" zoomScaleSheetLayoutView="100" workbookViewId="0">
      <selection sqref="A1:F1"/>
    </sheetView>
  </sheetViews>
  <sheetFormatPr defaultColWidth="9.140625" defaultRowHeight="15" x14ac:dyDescent="0.25"/>
  <cols>
    <col min="1" max="1" width="31.5703125" style="83" customWidth="1"/>
    <col min="2" max="2" width="9.5703125" style="83" bestFit="1" customWidth="1"/>
    <col min="3" max="3" width="9.140625" style="83"/>
    <col min="4" max="6" width="17.85546875" style="83" bestFit="1" customWidth="1"/>
    <col min="7" max="16384" width="9.140625" style="83"/>
  </cols>
  <sheetData>
    <row r="1" spans="1:6" ht="22.5" hidden="1" customHeight="1" x14ac:dyDescent="0.25">
      <c r="A1" s="761" t="s">
        <v>787</v>
      </c>
      <c r="B1" s="761"/>
      <c r="C1" s="761"/>
      <c r="D1" s="761"/>
      <c r="E1" s="761"/>
      <c r="F1" s="761"/>
    </row>
    <row r="2" spans="1:6" hidden="1" x14ac:dyDescent="0.25">
      <c r="A2" s="495"/>
      <c r="B2" s="495"/>
      <c r="C2" s="495"/>
      <c r="D2" s="495"/>
      <c r="E2" s="495"/>
      <c r="F2" s="495"/>
    </row>
    <row r="3" spans="1:6" x14ac:dyDescent="0.25">
      <c r="A3" s="739" t="s">
        <v>922</v>
      </c>
      <c r="B3" s="739"/>
      <c r="C3" s="739"/>
      <c r="D3" s="739"/>
      <c r="E3" s="739"/>
      <c r="F3" s="739"/>
    </row>
    <row r="4" spans="1:6" x14ac:dyDescent="0.25">
      <c r="A4" s="762"/>
      <c r="B4" s="762"/>
      <c r="C4" s="762"/>
      <c r="D4" s="762"/>
      <c r="E4" s="762"/>
      <c r="F4" s="762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740" t="s">
        <v>0</v>
      </c>
      <c r="B6" s="759" t="s">
        <v>923</v>
      </c>
      <c r="C6" s="740"/>
      <c r="D6" s="740"/>
      <c r="E6" s="740"/>
      <c r="F6" s="740"/>
    </row>
    <row r="7" spans="1:6" ht="30" x14ac:dyDescent="0.25">
      <c r="A7" s="740"/>
      <c r="B7" s="345" t="s">
        <v>1</v>
      </c>
      <c r="C7" s="345" t="s">
        <v>2</v>
      </c>
      <c r="D7" s="2" t="s">
        <v>738</v>
      </c>
      <c r="E7" s="2" t="s">
        <v>3</v>
      </c>
      <c r="F7" s="2" t="s">
        <v>5</v>
      </c>
    </row>
    <row r="8" spans="1:6" x14ac:dyDescent="0.25">
      <c r="A8" s="354"/>
      <c r="B8" s="497"/>
      <c r="C8" s="397"/>
      <c r="D8" s="87">
        <f>B8*C8</f>
        <v>0</v>
      </c>
      <c r="E8" s="85"/>
      <c r="F8" s="85"/>
    </row>
    <row r="9" spans="1:6" x14ac:dyDescent="0.25">
      <c r="A9" s="354"/>
      <c r="B9" s="497"/>
      <c r="C9" s="397"/>
      <c r="D9" s="87">
        <f t="shared" ref="D9:D22" si="0">B9*C9</f>
        <v>0</v>
      </c>
      <c r="E9" s="85"/>
      <c r="F9" s="85"/>
    </row>
    <row r="10" spans="1:6" x14ac:dyDescent="0.25">
      <c r="A10" s="354"/>
      <c r="B10" s="497"/>
      <c r="C10" s="397"/>
      <c r="D10" s="87">
        <f t="shared" si="0"/>
        <v>0</v>
      </c>
      <c r="E10" s="85"/>
      <c r="F10" s="85"/>
    </row>
    <row r="11" spans="1:6" x14ac:dyDescent="0.25">
      <c r="A11" s="354"/>
      <c r="B11" s="497"/>
      <c r="C11" s="397"/>
      <c r="D11" s="87">
        <f t="shared" si="0"/>
        <v>0</v>
      </c>
      <c r="E11" s="85"/>
      <c r="F11" s="85"/>
    </row>
    <row r="12" spans="1:6" x14ac:dyDescent="0.25">
      <c r="A12" s="354"/>
      <c r="B12" s="497"/>
      <c r="C12" s="397"/>
      <c r="D12" s="87">
        <f t="shared" si="0"/>
        <v>0</v>
      </c>
      <c r="E12" s="87"/>
      <c r="F12" s="85"/>
    </row>
    <row r="13" spans="1:6" x14ac:dyDescent="0.25">
      <c r="A13" s="354"/>
      <c r="B13" s="497"/>
      <c r="C13" s="397"/>
      <c r="D13" s="87">
        <f t="shared" si="0"/>
        <v>0</v>
      </c>
      <c r="E13" s="87"/>
      <c r="F13" s="85"/>
    </row>
    <row r="14" spans="1:6" x14ac:dyDescent="0.25">
      <c r="A14" s="354"/>
      <c r="B14" s="497"/>
      <c r="C14" s="397"/>
      <c r="D14" s="87">
        <f t="shared" si="0"/>
        <v>0</v>
      </c>
      <c r="E14" s="87"/>
      <c r="F14" s="85"/>
    </row>
    <row r="15" spans="1:6" x14ac:dyDescent="0.25">
      <c r="A15" s="354"/>
      <c r="B15" s="497"/>
      <c r="C15" s="397"/>
      <c r="D15" s="87">
        <f t="shared" si="0"/>
        <v>0</v>
      </c>
      <c r="E15" s="87"/>
      <c r="F15" s="85"/>
    </row>
    <row r="16" spans="1:6" x14ac:dyDescent="0.25">
      <c r="A16" s="354"/>
      <c r="B16" s="497"/>
      <c r="C16" s="401"/>
      <c r="D16" s="87">
        <f t="shared" si="0"/>
        <v>0</v>
      </c>
      <c r="E16" s="87"/>
      <c r="F16" s="85"/>
    </row>
    <row r="17" spans="1:7" x14ac:dyDescent="0.25">
      <c r="A17" s="354"/>
      <c r="B17" s="497"/>
      <c r="C17" s="467"/>
      <c r="D17" s="87">
        <f t="shared" si="0"/>
        <v>0</v>
      </c>
      <c r="E17" s="85"/>
      <c r="F17" s="87"/>
    </row>
    <row r="18" spans="1:7" x14ac:dyDescent="0.25">
      <c r="A18" s="354"/>
      <c r="B18" s="497"/>
      <c r="C18" s="467"/>
      <c r="D18" s="87">
        <f t="shared" si="0"/>
        <v>0</v>
      </c>
      <c r="E18" s="85"/>
      <c r="F18" s="87"/>
    </row>
    <row r="19" spans="1:7" x14ac:dyDescent="0.25">
      <c r="A19" s="354"/>
      <c r="B19" s="497"/>
      <c r="C19" s="467"/>
      <c r="D19" s="87">
        <f t="shared" si="0"/>
        <v>0</v>
      </c>
      <c r="E19" s="85"/>
      <c r="F19" s="87"/>
    </row>
    <row r="20" spans="1:7" x14ac:dyDescent="0.25">
      <c r="A20" s="354"/>
      <c r="B20" s="497"/>
      <c r="C20" s="467"/>
      <c r="D20" s="87">
        <f t="shared" si="0"/>
        <v>0</v>
      </c>
      <c r="E20" s="85"/>
      <c r="F20" s="87"/>
    </row>
    <row r="21" spans="1:7" x14ac:dyDescent="0.25">
      <c r="A21" s="354"/>
      <c r="B21" s="497"/>
      <c r="C21" s="467"/>
      <c r="D21" s="87">
        <f t="shared" si="0"/>
        <v>0</v>
      </c>
      <c r="E21" s="85"/>
      <c r="F21" s="87"/>
      <c r="G21" s="8"/>
    </row>
    <row r="22" spans="1:7" x14ac:dyDescent="0.25">
      <c r="A22" s="354"/>
      <c r="B22" s="497"/>
      <c r="C22" s="467"/>
      <c r="D22" s="87">
        <f t="shared" si="0"/>
        <v>0</v>
      </c>
      <c r="E22" s="85"/>
      <c r="F22" s="87"/>
      <c r="G22" s="8"/>
    </row>
    <row r="23" spans="1:7" x14ac:dyDescent="0.25">
      <c r="A23" s="345" t="s">
        <v>4</v>
      </c>
      <c r="B23" s="85"/>
      <c r="C23" s="6">
        <f>SUM(C8:C22)</f>
        <v>0</v>
      </c>
      <c r="D23" s="7">
        <f>SUM(D8:D22)</f>
        <v>0</v>
      </c>
      <c r="E23" s="7">
        <f t="shared" ref="E23:F23" si="1">SUM(E8:E22)</f>
        <v>0</v>
      </c>
      <c r="F23" s="7">
        <f t="shared" si="1"/>
        <v>0</v>
      </c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760"/>
      <c r="B25" s="760"/>
      <c r="C25" s="760"/>
      <c r="D25" s="760"/>
      <c r="E25" s="760"/>
      <c r="F25" s="496"/>
      <c r="G25" s="8"/>
    </row>
    <row r="26" spans="1:7" x14ac:dyDescent="0.25"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</sheetData>
  <mergeCells count="6">
    <mergeCell ref="A25:E25"/>
    <mergeCell ref="A1:F1"/>
    <mergeCell ref="A3:F3"/>
    <mergeCell ref="A4:F4"/>
    <mergeCell ref="A6:A7"/>
    <mergeCell ref="B6:F6"/>
  </mergeCells>
  <pageMargins left="0.7" right="0.7" top="0.75" bottom="0.75" header="0.3" footer="0.3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-0.249977111117893"/>
  </sheetPr>
  <dimension ref="A1:F21"/>
  <sheetViews>
    <sheetView view="pageBreakPreview" zoomScaleSheetLayoutView="100" workbookViewId="0">
      <selection activeCell="CL134" sqref="CL134:DA134"/>
    </sheetView>
  </sheetViews>
  <sheetFormatPr defaultRowHeight="15" x14ac:dyDescent="0.25"/>
  <cols>
    <col min="1" max="1" width="29.7109375" customWidth="1"/>
    <col min="2" max="2" width="10.140625" customWidth="1"/>
    <col min="3" max="3" width="12.140625" customWidth="1"/>
    <col min="4" max="4" width="11.28515625" bestFit="1" customWidth="1"/>
    <col min="5" max="6" width="17.85546875" bestFit="1" customWidth="1"/>
    <col min="7" max="7" width="9.42578125" customWidth="1"/>
  </cols>
  <sheetData>
    <row r="1" spans="1:6" x14ac:dyDescent="0.25">
      <c r="A1" s="739" t="s">
        <v>9</v>
      </c>
      <c r="B1" s="739"/>
      <c r="C1" s="739"/>
      <c r="D1" s="739"/>
      <c r="E1" s="739"/>
      <c r="F1" s="739"/>
    </row>
    <row r="3" spans="1:6" x14ac:dyDescent="0.25">
      <c r="A3" s="740" t="s">
        <v>0</v>
      </c>
      <c r="B3" s="740" t="s">
        <v>7</v>
      </c>
      <c r="C3" s="740"/>
      <c r="D3" s="740"/>
      <c r="E3" s="740"/>
      <c r="F3" s="740"/>
    </row>
    <row r="4" spans="1:6" ht="30" x14ac:dyDescent="0.25">
      <c r="A4" s="740"/>
      <c r="B4" s="1" t="s">
        <v>225</v>
      </c>
      <c r="C4" s="1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478" t="s">
        <v>907</v>
      </c>
      <c r="B5" s="489">
        <v>40</v>
      </c>
      <c r="C5" s="494">
        <v>40</v>
      </c>
      <c r="D5" s="5">
        <f>B5*C5</f>
        <v>1600</v>
      </c>
      <c r="E5" s="3">
        <f>D5*1.04</f>
        <v>1664</v>
      </c>
      <c r="F5" s="3">
        <f>E5*1.04</f>
        <v>1730.56</v>
      </c>
    </row>
    <row r="6" spans="1:6" x14ac:dyDescent="0.25">
      <c r="A6" s="478" t="s">
        <v>912</v>
      </c>
      <c r="B6" s="489">
        <v>1000</v>
      </c>
      <c r="C6" s="494">
        <v>5</v>
      </c>
      <c r="D6" s="87">
        <f t="shared" ref="D6:D20" si="0">B6*C6</f>
        <v>5000</v>
      </c>
      <c r="E6" s="85">
        <f t="shared" ref="E6:F6" si="1">D6*1.04</f>
        <v>5200</v>
      </c>
      <c r="F6" s="85">
        <f t="shared" si="1"/>
        <v>5408</v>
      </c>
    </row>
    <row r="7" spans="1:6" x14ac:dyDescent="0.25">
      <c r="A7" s="478" t="s">
        <v>913</v>
      </c>
      <c r="B7" s="489">
        <v>1200</v>
      </c>
      <c r="C7" s="494">
        <v>5</v>
      </c>
      <c r="D7" s="87">
        <f t="shared" si="0"/>
        <v>6000</v>
      </c>
      <c r="E7" s="85">
        <f t="shared" ref="E7:F7" si="2">D7*1.04</f>
        <v>6240</v>
      </c>
      <c r="F7" s="85">
        <f t="shared" si="2"/>
        <v>6489.6</v>
      </c>
    </row>
    <row r="8" spans="1:6" x14ac:dyDescent="0.25">
      <c r="A8" s="480" t="s">
        <v>914</v>
      </c>
      <c r="B8" s="489">
        <v>300</v>
      </c>
      <c r="C8" s="494">
        <v>8</v>
      </c>
      <c r="D8" s="87">
        <f t="shared" si="0"/>
        <v>2400</v>
      </c>
      <c r="E8" s="85">
        <f t="shared" ref="E8:F8" si="3">D8*1.04</f>
        <v>2496</v>
      </c>
      <c r="F8" s="85">
        <f t="shared" si="3"/>
        <v>2595.84</v>
      </c>
    </row>
    <row r="9" spans="1:6" x14ac:dyDescent="0.25">
      <c r="A9" s="88"/>
      <c r="B9" s="481"/>
      <c r="C9" s="89"/>
      <c r="D9" s="87">
        <f t="shared" si="0"/>
        <v>0</v>
      </c>
      <c r="E9" s="85">
        <f t="shared" ref="E9:F9" si="4">D9*1.04</f>
        <v>0</v>
      </c>
      <c r="F9" s="85">
        <f t="shared" si="4"/>
        <v>0</v>
      </c>
    </row>
    <row r="10" spans="1:6" x14ac:dyDescent="0.25">
      <c r="A10" s="88"/>
      <c r="B10" s="135"/>
      <c r="C10" s="89"/>
      <c r="D10" s="87">
        <f t="shared" si="0"/>
        <v>0</v>
      </c>
      <c r="E10" s="85">
        <f t="shared" ref="E10:F10" si="5">D10*1.04</f>
        <v>0</v>
      </c>
      <c r="F10" s="85">
        <f t="shared" si="5"/>
        <v>0</v>
      </c>
    </row>
    <row r="11" spans="1:6" x14ac:dyDescent="0.25">
      <c r="A11" s="88"/>
      <c r="B11" s="135"/>
      <c r="C11" s="89"/>
      <c r="D11" s="87">
        <f t="shared" si="0"/>
        <v>0</v>
      </c>
      <c r="E11" s="85">
        <f t="shared" ref="E11:F11" si="6">D11*1.04</f>
        <v>0</v>
      </c>
      <c r="F11" s="85">
        <f t="shared" si="6"/>
        <v>0</v>
      </c>
    </row>
    <row r="12" spans="1:6" s="83" customFormat="1" x14ac:dyDescent="0.25">
      <c r="A12" s="88"/>
      <c r="B12" s="135"/>
      <c r="C12" s="89"/>
      <c r="D12" s="87">
        <f t="shared" si="0"/>
        <v>0</v>
      </c>
      <c r="E12" s="85">
        <f t="shared" ref="E12:F12" si="7">D12*1.04</f>
        <v>0</v>
      </c>
      <c r="F12" s="85">
        <f t="shared" si="7"/>
        <v>0</v>
      </c>
    </row>
    <row r="13" spans="1:6" s="83" customFormat="1" x14ac:dyDescent="0.25">
      <c r="A13" s="90"/>
      <c r="B13" s="135"/>
      <c r="C13" s="89"/>
      <c r="D13" s="87">
        <f t="shared" si="0"/>
        <v>0</v>
      </c>
      <c r="E13" s="85">
        <f t="shared" ref="E13:F13" si="8">D13*1.04</f>
        <v>0</v>
      </c>
      <c r="F13" s="85">
        <f t="shared" si="8"/>
        <v>0</v>
      </c>
    </row>
    <row r="14" spans="1:6" x14ac:dyDescent="0.25">
      <c r="A14" s="91"/>
      <c r="B14" s="135"/>
      <c r="C14" s="89"/>
      <c r="D14" s="87">
        <f t="shared" si="0"/>
        <v>0</v>
      </c>
      <c r="E14" s="85">
        <f t="shared" ref="E14:F14" si="9">D14*1.04</f>
        <v>0</v>
      </c>
      <c r="F14" s="85">
        <f t="shared" si="9"/>
        <v>0</v>
      </c>
    </row>
    <row r="15" spans="1:6" s="83" customFormat="1" x14ac:dyDescent="0.25">
      <c r="A15" s="91"/>
      <c r="B15" s="135"/>
      <c r="C15" s="89"/>
      <c r="D15" s="87">
        <f t="shared" si="0"/>
        <v>0</v>
      </c>
      <c r="E15" s="85">
        <f t="shared" ref="E15:F15" si="10">D15*1.04</f>
        <v>0</v>
      </c>
      <c r="F15" s="85">
        <f t="shared" si="10"/>
        <v>0</v>
      </c>
    </row>
    <row r="16" spans="1:6" x14ac:dyDescent="0.25">
      <c r="A16" s="91"/>
      <c r="B16" s="135"/>
      <c r="C16" s="89"/>
      <c r="D16" s="87">
        <f t="shared" si="0"/>
        <v>0</v>
      </c>
      <c r="E16" s="85">
        <f t="shared" ref="E16:F16" si="11">D16*1.04</f>
        <v>0</v>
      </c>
      <c r="F16" s="85">
        <f t="shared" si="11"/>
        <v>0</v>
      </c>
    </row>
    <row r="17" spans="1:6" s="83" customFormat="1" x14ac:dyDescent="0.25">
      <c r="A17" s="91"/>
      <c r="B17" s="135"/>
      <c r="C17" s="89"/>
      <c r="D17" s="87">
        <f t="shared" si="0"/>
        <v>0</v>
      </c>
      <c r="E17" s="85">
        <f t="shared" ref="E17:F17" si="12">D17*1.04</f>
        <v>0</v>
      </c>
      <c r="F17" s="85">
        <f t="shared" si="12"/>
        <v>0</v>
      </c>
    </row>
    <row r="18" spans="1:6" x14ac:dyDescent="0.25">
      <c r="A18" s="91"/>
      <c r="B18" s="135"/>
      <c r="C18" s="89"/>
      <c r="D18" s="87">
        <f t="shared" si="0"/>
        <v>0</v>
      </c>
      <c r="E18" s="3"/>
      <c r="F18" s="3"/>
    </row>
    <row r="19" spans="1:6" s="83" customFormat="1" x14ac:dyDescent="0.25">
      <c r="A19" s="84"/>
      <c r="B19" s="85"/>
      <c r="C19" s="86"/>
      <c r="D19" s="87">
        <f t="shared" si="0"/>
        <v>0</v>
      </c>
      <c r="E19" s="85"/>
      <c r="F19" s="85"/>
    </row>
    <row r="20" spans="1:6" x14ac:dyDescent="0.25">
      <c r="A20" s="1"/>
      <c r="B20" s="1"/>
      <c r="C20" s="1"/>
      <c r="D20" s="87">
        <f t="shared" si="0"/>
        <v>0</v>
      </c>
      <c r="E20" s="3"/>
      <c r="F20" s="3"/>
    </row>
    <row r="21" spans="1:6" x14ac:dyDescent="0.25">
      <c r="A21" s="1" t="s">
        <v>4</v>
      </c>
      <c r="B21" s="3"/>
      <c r="C21" s="6">
        <f>SUM(C5:C20)</f>
        <v>58</v>
      </c>
      <c r="D21" s="7">
        <f t="shared" ref="D21:F21" si="13">SUM(D5:D20)</f>
        <v>15000</v>
      </c>
      <c r="E21" s="7">
        <f t="shared" si="13"/>
        <v>15600</v>
      </c>
      <c r="F21" s="7">
        <f t="shared" si="13"/>
        <v>16224</v>
      </c>
    </row>
  </sheetData>
  <mergeCells count="3">
    <mergeCell ref="A3:A4"/>
    <mergeCell ref="B3:F3"/>
    <mergeCell ref="A1:F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249977111117893"/>
  </sheetPr>
  <dimension ref="A1:F9"/>
  <sheetViews>
    <sheetView view="pageBreakPreview" zoomScaleSheetLayoutView="100" workbookViewId="0">
      <selection activeCell="CL134" sqref="CL134:DA134"/>
    </sheetView>
  </sheetViews>
  <sheetFormatPr defaultColWidth="9.140625" defaultRowHeight="15" x14ac:dyDescent="0.25"/>
  <cols>
    <col min="1" max="1" width="29.7109375" style="83" customWidth="1"/>
    <col min="2" max="2" width="10.140625" style="83" customWidth="1"/>
    <col min="3" max="3" width="12.140625" style="83" customWidth="1"/>
    <col min="4" max="6" width="17.85546875" style="83" bestFit="1" customWidth="1"/>
    <col min="7" max="7" width="9.42578125" style="83" customWidth="1"/>
    <col min="8" max="16384" width="9.140625" style="83"/>
  </cols>
  <sheetData>
    <row r="1" spans="1:6" x14ac:dyDescent="0.25">
      <c r="A1" s="739" t="s">
        <v>9</v>
      </c>
      <c r="B1" s="739"/>
      <c r="C1" s="739"/>
      <c r="D1" s="739"/>
      <c r="E1" s="739"/>
      <c r="F1" s="739"/>
    </row>
    <row r="2" spans="1:6" x14ac:dyDescent="0.25">
      <c r="A2" s="762"/>
      <c r="B2" s="762"/>
      <c r="C2" s="762"/>
      <c r="D2" s="762"/>
      <c r="E2" s="762"/>
      <c r="F2" s="762"/>
    </row>
    <row r="3" spans="1:6" x14ac:dyDescent="0.25">
      <c r="A3" s="8"/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740" t="s">
        <v>0</v>
      </c>
      <c r="B5" s="740" t="s">
        <v>886</v>
      </c>
      <c r="C5" s="740"/>
      <c r="D5" s="740"/>
      <c r="E5" s="740"/>
      <c r="F5" s="740"/>
    </row>
    <row r="6" spans="1:6" x14ac:dyDescent="0.25">
      <c r="A6" s="740"/>
      <c r="B6" s="345" t="s">
        <v>1</v>
      </c>
      <c r="C6" s="345" t="s">
        <v>2</v>
      </c>
      <c r="D6" s="2" t="s">
        <v>738</v>
      </c>
      <c r="E6" s="2" t="s">
        <v>3</v>
      </c>
      <c r="F6" s="2" t="s">
        <v>5</v>
      </c>
    </row>
    <row r="7" spans="1:6" x14ac:dyDescent="0.25">
      <c r="A7" s="478" t="s">
        <v>916</v>
      </c>
      <c r="B7" s="481">
        <v>70</v>
      </c>
      <c r="C7" s="481">
        <v>200</v>
      </c>
      <c r="D7" s="87">
        <f>B7*C7</f>
        <v>14000</v>
      </c>
      <c r="E7" s="85">
        <f>D7*1.04</f>
        <v>14560</v>
      </c>
      <c r="F7" s="85">
        <f>E7*1.04</f>
        <v>15142.4</v>
      </c>
    </row>
    <row r="8" spans="1:6" x14ac:dyDescent="0.25">
      <c r="A8" s="480" t="s">
        <v>917</v>
      </c>
      <c r="B8" s="481">
        <v>300</v>
      </c>
      <c r="C8" s="481">
        <v>10</v>
      </c>
      <c r="D8" s="87">
        <f>B8*C8</f>
        <v>3000</v>
      </c>
      <c r="E8" s="85">
        <f>D8*1.04</f>
        <v>3120</v>
      </c>
      <c r="F8" s="85">
        <f>E8*1.04</f>
        <v>3244.8</v>
      </c>
    </row>
    <row r="9" spans="1:6" x14ac:dyDescent="0.25">
      <c r="A9" s="345" t="s">
        <v>4</v>
      </c>
      <c r="B9" s="85"/>
      <c r="C9" s="6">
        <f>SUM(C7:C7)</f>
        <v>200</v>
      </c>
      <c r="D9" s="7">
        <f>SUM(D7:D7)</f>
        <v>14000</v>
      </c>
      <c r="E9" s="7">
        <f>SUM(E7:E7)</f>
        <v>14560</v>
      </c>
      <c r="F9" s="7">
        <f>SUM(F7:F7)</f>
        <v>15142.4</v>
      </c>
    </row>
  </sheetData>
  <mergeCells count="4">
    <mergeCell ref="A1:F1"/>
    <mergeCell ref="A2:F2"/>
    <mergeCell ref="A5:A6"/>
    <mergeCell ref="B5:F5"/>
  </mergeCells>
  <pageMargins left="0.7" right="0.7" top="0.75" bottom="0.75" header="0.3" footer="0.3"/>
  <pageSetup paperSize="9"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 tint="-0.249977111117893"/>
  </sheetPr>
  <dimension ref="A1:F56"/>
  <sheetViews>
    <sheetView view="pageBreakPreview" topLeftCell="A4" zoomScaleSheetLayoutView="100" workbookViewId="0">
      <selection activeCell="CL134" sqref="CL134:DA134"/>
    </sheetView>
  </sheetViews>
  <sheetFormatPr defaultColWidth="9.140625" defaultRowHeight="15" x14ac:dyDescent="0.25"/>
  <cols>
    <col min="1" max="1" width="29.7109375" style="8" customWidth="1"/>
    <col min="2" max="2" width="11.28515625" style="8" customWidth="1"/>
    <col min="3" max="3" width="12.140625" style="8" customWidth="1"/>
    <col min="4" max="6" width="17.85546875" style="8" bestFit="1" customWidth="1"/>
    <col min="7" max="7" width="9.42578125" style="8" customWidth="1"/>
    <col min="8" max="16384" width="9.140625" style="8"/>
  </cols>
  <sheetData>
    <row r="1" spans="1:6" x14ac:dyDescent="0.25">
      <c r="A1" s="739" t="s">
        <v>8</v>
      </c>
      <c r="B1" s="739"/>
      <c r="C1" s="739"/>
      <c r="D1" s="739"/>
      <c r="E1" s="739"/>
      <c r="F1" s="739"/>
    </row>
    <row r="3" spans="1:6" ht="66" customHeight="1" x14ac:dyDescent="0.25">
      <c r="A3" s="740" t="s">
        <v>0</v>
      </c>
      <c r="B3" s="740" t="s">
        <v>11</v>
      </c>
      <c r="C3" s="740"/>
      <c r="D3" s="740"/>
      <c r="E3" s="740"/>
      <c r="F3" s="740"/>
    </row>
    <row r="4" spans="1:6" ht="30" x14ac:dyDescent="0.25">
      <c r="A4" s="740"/>
      <c r="B4" s="345" t="s">
        <v>225</v>
      </c>
      <c r="C4" s="345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478" t="s">
        <v>887</v>
      </c>
      <c r="B5" s="487">
        <v>80</v>
      </c>
      <c r="C5" s="491">
        <v>20</v>
      </c>
      <c r="D5" s="87">
        <f>B5*C5</f>
        <v>1600</v>
      </c>
      <c r="E5" s="85">
        <f>D5*1.04</f>
        <v>1664</v>
      </c>
      <c r="F5" s="85">
        <f>E5*1.04</f>
        <v>1730.56</v>
      </c>
    </row>
    <row r="6" spans="1:6" x14ac:dyDescent="0.25">
      <c r="A6" s="479" t="s">
        <v>171</v>
      </c>
      <c r="B6" s="487">
        <v>94</v>
      </c>
      <c r="C6" s="491">
        <v>20</v>
      </c>
      <c r="D6" s="87">
        <f t="shared" ref="D6:D51" si="0">B6*C6</f>
        <v>1880</v>
      </c>
      <c r="E6" s="85">
        <f t="shared" ref="E6:F6" si="1">D6*1.04</f>
        <v>1955.2</v>
      </c>
      <c r="F6" s="85">
        <f t="shared" si="1"/>
        <v>2033.4080000000001</v>
      </c>
    </row>
    <row r="7" spans="1:6" x14ac:dyDescent="0.25">
      <c r="A7" s="480" t="s">
        <v>170</v>
      </c>
      <c r="B7" s="487">
        <v>48</v>
      </c>
      <c r="C7" s="491">
        <v>20</v>
      </c>
      <c r="D7" s="87">
        <f t="shared" si="0"/>
        <v>960</v>
      </c>
      <c r="E7" s="85">
        <f t="shared" ref="E7:F7" si="2">D7*1.04</f>
        <v>998.40000000000009</v>
      </c>
      <c r="F7" s="85">
        <f t="shared" si="2"/>
        <v>1038.3360000000002</v>
      </c>
    </row>
    <row r="8" spans="1:6" x14ac:dyDescent="0.25">
      <c r="A8" s="480" t="s">
        <v>888</v>
      </c>
      <c r="B8" s="487">
        <v>176</v>
      </c>
      <c r="C8" s="491">
        <v>35</v>
      </c>
      <c r="D8" s="87">
        <f t="shared" si="0"/>
        <v>6160</v>
      </c>
      <c r="E8" s="85">
        <f t="shared" ref="E8:F8" si="3">D8*1.04</f>
        <v>6406.4000000000005</v>
      </c>
      <c r="F8" s="85">
        <f t="shared" si="3"/>
        <v>6662.6560000000009</v>
      </c>
    </row>
    <row r="9" spans="1:6" x14ac:dyDescent="0.25">
      <c r="A9" s="480" t="s">
        <v>889</v>
      </c>
      <c r="B9" s="487">
        <v>16</v>
      </c>
      <c r="C9" s="491">
        <v>35</v>
      </c>
      <c r="D9" s="87">
        <f t="shared" si="0"/>
        <v>560</v>
      </c>
      <c r="E9" s="85">
        <f t="shared" ref="E9:F9" si="4">D9*1.04</f>
        <v>582.4</v>
      </c>
      <c r="F9" s="85">
        <f t="shared" si="4"/>
        <v>605.69600000000003</v>
      </c>
    </row>
    <row r="10" spans="1:6" x14ac:dyDescent="0.25">
      <c r="A10" s="480" t="s">
        <v>890</v>
      </c>
      <c r="B10" s="487">
        <v>134</v>
      </c>
      <c r="C10" s="491">
        <v>20</v>
      </c>
      <c r="D10" s="87">
        <f t="shared" si="0"/>
        <v>2680</v>
      </c>
      <c r="E10" s="85">
        <f t="shared" ref="E10:F10" si="5">D10*1.04</f>
        <v>2787.2000000000003</v>
      </c>
      <c r="F10" s="85">
        <f t="shared" si="5"/>
        <v>2898.6880000000006</v>
      </c>
    </row>
    <row r="11" spans="1:6" x14ac:dyDescent="0.25">
      <c r="A11" s="480" t="s">
        <v>891</v>
      </c>
      <c r="B11" s="487">
        <v>146</v>
      </c>
      <c r="C11" s="491">
        <v>30</v>
      </c>
      <c r="D11" s="87">
        <f t="shared" si="0"/>
        <v>4380</v>
      </c>
      <c r="E11" s="85">
        <f t="shared" ref="E11:F11" si="6">D11*1.04</f>
        <v>4555.2</v>
      </c>
      <c r="F11" s="85">
        <f t="shared" si="6"/>
        <v>4737.4080000000004</v>
      </c>
    </row>
    <row r="12" spans="1:6" x14ac:dyDescent="0.25">
      <c r="A12" s="480" t="s">
        <v>892</v>
      </c>
      <c r="B12" s="487">
        <v>62</v>
      </c>
      <c r="C12" s="491">
        <v>25</v>
      </c>
      <c r="D12" s="87">
        <f t="shared" si="0"/>
        <v>1550</v>
      </c>
      <c r="E12" s="85">
        <f t="shared" ref="E12:F12" si="7">D12*1.04</f>
        <v>1612</v>
      </c>
      <c r="F12" s="85">
        <f t="shared" si="7"/>
        <v>1676.48</v>
      </c>
    </row>
    <row r="13" spans="1:6" x14ac:dyDescent="0.25">
      <c r="A13" s="480" t="s">
        <v>893</v>
      </c>
      <c r="B13" s="487">
        <v>48</v>
      </c>
      <c r="C13" s="491">
        <v>30</v>
      </c>
      <c r="D13" s="87">
        <f t="shared" si="0"/>
        <v>1440</v>
      </c>
      <c r="E13" s="85">
        <f t="shared" ref="E13:F13" si="8">D13*1.04</f>
        <v>1497.6000000000001</v>
      </c>
      <c r="F13" s="85">
        <f t="shared" si="8"/>
        <v>1557.5040000000001</v>
      </c>
    </row>
    <row r="14" spans="1:6" x14ac:dyDescent="0.25">
      <c r="A14" s="480" t="s">
        <v>894</v>
      </c>
      <c r="B14" s="487">
        <v>140</v>
      </c>
      <c r="C14" s="491">
        <v>5</v>
      </c>
      <c r="D14" s="87">
        <f t="shared" si="0"/>
        <v>700</v>
      </c>
      <c r="E14" s="85">
        <f t="shared" ref="E14:F14" si="9">D14*1.04</f>
        <v>728</v>
      </c>
      <c r="F14" s="85">
        <f t="shared" si="9"/>
        <v>757.12</v>
      </c>
    </row>
    <row r="15" spans="1:6" x14ac:dyDescent="0.25">
      <c r="A15" s="480" t="s">
        <v>895</v>
      </c>
      <c r="B15" s="487">
        <v>30</v>
      </c>
      <c r="C15" s="491">
        <v>20</v>
      </c>
      <c r="D15" s="87">
        <f t="shared" si="0"/>
        <v>600</v>
      </c>
      <c r="E15" s="85">
        <f t="shared" ref="E15:F15" si="10">D15*1.04</f>
        <v>624</v>
      </c>
      <c r="F15" s="85">
        <f t="shared" si="10"/>
        <v>648.96</v>
      </c>
    </row>
    <row r="16" spans="1:6" x14ac:dyDescent="0.25">
      <c r="A16" s="480" t="s">
        <v>896</v>
      </c>
      <c r="B16" s="487">
        <v>162</v>
      </c>
      <c r="C16" s="491">
        <v>3</v>
      </c>
      <c r="D16" s="87">
        <f t="shared" si="0"/>
        <v>486</v>
      </c>
      <c r="E16" s="85">
        <f t="shared" ref="E16:F16" si="11">D16*1.04</f>
        <v>505.44</v>
      </c>
      <c r="F16" s="85">
        <f t="shared" si="11"/>
        <v>525.6576</v>
      </c>
    </row>
    <row r="17" spans="1:6" x14ac:dyDescent="0.25">
      <c r="A17" s="480" t="s">
        <v>172</v>
      </c>
      <c r="B17" s="487">
        <v>200</v>
      </c>
      <c r="C17" s="491">
        <v>3</v>
      </c>
      <c r="D17" s="87">
        <f t="shared" si="0"/>
        <v>600</v>
      </c>
      <c r="E17" s="85">
        <f t="shared" ref="E17:F17" si="12">D17*1.04</f>
        <v>624</v>
      </c>
      <c r="F17" s="85">
        <f t="shared" si="12"/>
        <v>648.96</v>
      </c>
    </row>
    <row r="18" spans="1:6" x14ac:dyDescent="0.25">
      <c r="A18" s="480" t="s">
        <v>897</v>
      </c>
      <c r="B18" s="487">
        <v>650</v>
      </c>
      <c r="C18" s="491">
        <v>30</v>
      </c>
      <c r="D18" s="87">
        <f t="shared" si="0"/>
        <v>19500</v>
      </c>
      <c r="E18" s="85">
        <f t="shared" ref="E18:F18" si="13">D18*1.04</f>
        <v>20280</v>
      </c>
      <c r="F18" s="85">
        <f t="shared" si="13"/>
        <v>21091.200000000001</v>
      </c>
    </row>
    <row r="19" spans="1:6" x14ac:dyDescent="0.25">
      <c r="A19" s="480" t="s">
        <v>887</v>
      </c>
      <c r="B19" s="487">
        <v>80</v>
      </c>
      <c r="C19" s="491">
        <v>20</v>
      </c>
      <c r="D19" s="87">
        <f t="shared" si="0"/>
        <v>1600</v>
      </c>
      <c r="E19" s="85">
        <f t="shared" ref="E19:F19" si="14">D19*1.04</f>
        <v>1664</v>
      </c>
      <c r="F19" s="85">
        <f t="shared" si="14"/>
        <v>1730.56</v>
      </c>
    </row>
    <row r="20" spans="1:6" x14ac:dyDescent="0.25">
      <c r="A20" s="480" t="s">
        <v>898</v>
      </c>
      <c r="B20" s="487">
        <v>154</v>
      </c>
      <c r="C20" s="491">
        <v>9</v>
      </c>
      <c r="D20" s="87">
        <f t="shared" si="0"/>
        <v>1386</v>
      </c>
      <c r="E20" s="85">
        <f t="shared" ref="E20:F20" si="15">D20*1.04</f>
        <v>1441.44</v>
      </c>
      <c r="F20" s="85">
        <f t="shared" si="15"/>
        <v>1499.0976000000001</v>
      </c>
    </row>
    <row r="21" spans="1:6" x14ac:dyDescent="0.25">
      <c r="A21" s="480" t="s">
        <v>169</v>
      </c>
      <c r="B21" s="487">
        <v>200</v>
      </c>
      <c r="C21" s="491">
        <v>308</v>
      </c>
      <c r="D21" s="87">
        <f t="shared" si="0"/>
        <v>61600</v>
      </c>
      <c r="E21" s="85">
        <f t="shared" ref="E21:F21" si="16">D21*1.04</f>
        <v>64064</v>
      </c>
      <c r="F21" s="85">
        <f t="shared" si="16"/>
        <v>66626.559999999998</v>
      </c>
    </row>
    <row r="22" spans="1:6" x14ac:dyDescent="0.25">
      <c r="A22" s="480" t="s">
        <v>899</v>
      </c>
      <c r="B22" s="487">
        <v>10</v>
      </c>
      <c r="C22" s="491">
        <v>50</v>
      </c>
      <c r="D22" s="87">
        <f t="shared" si="0"/>
        <v>500</v>
      </c>
      <c r="E22" s="85">
        <f t="shared" ref="E22:F22" si="17">D22*1.04</f>
        <v>520</v>
      </c>
      <c r="F22" s="85">
        <f t="shared" si="17"/>
        <v>540.80000000000007</v>
      </c>
    </row>
    <row r="23" spans="1:6" x14ac:dyDescent="0.25">
      <c r="A23" s="480" t="s">
        <v>900</v>
      </c>
      <c r="B23" s="487">
        <v>240</v>
      </c>
      <c r="C23" s="491">
        <v>6</v>
      </c>
      <c r="D23" s="87">
        <f t="shared" si="0"/>
        <v>1440</v>
      </c>
      <c r="E23" s="85">
        <f t="shared" ref="E23:F23" si="18">D23*1.04</f>
        <v>1497.6000000000001</v>
      </c>
      <c r="F23" s="85">
        <f t="shared" si="18"/>
        <v>1557.5040000000001</v>
      </c>
    </row>
    <row r="24" spans="1:6" x14ac:dyDescent="0.25">
      <c r="A24" s="478" t="s">
        <v>168</v>
      </c>
      <c r="B24" s="488">
        <v>30</v>
      </c>
      <c r="C24" s="492">
        <v>170</v>
      </c>
      <c r="D24" s="87">
        <f t="shared" si="0"/>
        <v>5100</v>
      </c>
      <c r="E24" s="85">
        <f t="shared" ref="E24:F24" si="19">D24*1.04</f>
        <v>5304</v>
      </c>
      <c r="F24" s="85">
        <f t="shared" si="19"/>
        <v>5516.16</v>
      </c>
    </row>
    <row r="25" spans="1:6" x14ac:dyDescent="0.25">
      <c r="A25" s="478" t="s">
        <v>901</v>
      </c>
      <c r="B25" s="488">
        <v>35</v>
      </c>
      <c r="C25" s="492">
        <v>150</v>
      </c>
      <c r="D25" s="87">
        <f t="shared" si="0"/>
        <v>5250</v>
      </c>
      <c r="E25" s="85">
        <f t="shared" ref="E25:F25" si="20">D25*1.04</f>
        <v>5460</v>
      </c>
      <c r="F25" s="85">
        <f t="shared" si="20"/>
        <v>5678.4000000000005</v>
      </c>
    </row>
    <row r="26" spans="1:6" x14ac:dyDescent="0.25">
      <c r="A26" s="478" t="s">
        <v>173</v>
      </c>
      <c r="B26" s="488">
        <v>30</v>
      </c>
      <c r="C26" s="492">
        <v>120</v>
      </c>
      <c r="D26" s="87">
        <f t="shared" si="0"/>
        <v>3600</v>
      </c>
      <c r="E26" s="85">
        <f t="shared" ref="E26:F26" si="21">D26*1.04</f>
        <v>3744</v>
      </c>
      <c r="F26" s="85">
        <f t="shared" si="21"/>
        <v>3893.76</v>
      </c>
    </row>
    <row r="27" spans="1:6" x14ac:dyDescent="0.25">
      <c r="A27" s="480" t="s">
        <v>902</v>
      </c>
      <c r="B27" s="489">
        <v>55</v>
      </c>
      <c r="C27" s="493">
        <v>60</v>
      </c>
      <c r="D27" s="87">
        <f t="shared" si="0"/>
        <v>3300</v>
      </c>
      <c r="E27" s="85">
        <f t="shared" ref="E27:F27" si="22">D27*1.04</f>
        <v>3432</v>
      </c>
      <c r="F27" s="85">
        <f t="shared" si="22"/>
        <v>3569.28</v>
      </c>
    </row>
    <row r="28" spans="1:6" x14ac:dyDescent="0.25">
      <c r="A28" s="479" t="s">
        <v>903</v>
      </c>
      <c r="B28" s="489">
        <v>220</v>
      </c>
      <c r="C28" s="493">
        <v>30</v>
      </c>
      <c r="D28" s="87">
        <f t="shared" si="0"/>
        <v>6600</v>
      </c>
      <c r="E28" s="85">
        <f t="shared" ref="E28:F28" si="23">D28*1.04</f>
        <v>6864</v>
      </c>
      <c r="F28" s="85">
        <f t="shared" si="23"/>
        <v>7138.56</v>
      </c>
    </row>
    <row r="29" spans="1:6" x14ac:dyDescent="0.25">
      <c r="A29" s="479" t="s">
        <v>904</v>
      </c>
      <c r="B29" s="489">
        <v>50</v>
      </c>
      <c r="C29" s="493">
        <v>15</v>
      </c>
      <c r="D29" s="87">
        <f t="shared" si="0"/>
        <v>750</v>
      </c>
      <c r="E29" s="85">
        <f t="shared" ref="E29:F29" si="24">D29*1.04</f>
        <v>780</v>
      </c>
      <c r="F29" s="85">
        <f t="shared" si="24"/>
        <v>811.2</v>
      </c>
    </row>
    <row r="30" spans="1:6" x14ac:dyDescent="0.25">
      <c r="A30" s="482" t="s">
        <v>905</v>
      </c>
      <c r="B30" s="488">
        <v>288</v>
      </c>
      <c r="C30" s="492">
        <v>30</v>
      </c>
      <c r="D30" s="87">
        <f t="shared" si="0"/>
        <v>8640</v>
      </c>
      <c r="E30" s="85">
        <f t="shared" ref="E30:F30" si="25">D30*1.04</f>
        <v>8985.6</v>
      </c>
      <c r="F30" s="85">
        <f t="shared" si="25"/>
        <v>9345.0240000000013</v>
      </c>
    </row>
    <row r="31" spans="1:6" x14ac:dyDescent="0.25">
      <c r="A31" s="478" t="s">
        <v>906</v>
      </c>
      <c r="B31" s="489">
        <v>75</v>
      </c>
      <c r="C31" s="493">
        <v>60</v>
      </c>
      <c r="D31" s="87">
        <f t="shared" si="0"/>
        <v>4500</v>
      </c>
      <c r="E31" s="85">
        <f t="shared" ref="E31:F31" si="26">D31*1.04</f>
        <v>4680</v>
      </c>
      <c r="F31" s="85">
        <f t="shared" si="26"/>
        <v>4867.2</v>
      </c>
    </row>
    <row r="32" spans="1:6" x14ac:dyDescent="0.25">
      <c r="A32" s="478" t="s">
        <v>908</v>
      </c>
      <c r="B32" s="489">
        <v>110</v>
      </c>
      <c r="C32" s="493">
        <v>15</v>
      </c>
      <c r="D32" s="87">
        <f t="shared" si="0"/>
        <v>1650</v>
      </c>
      <c r="E32" s="85">
        <f t="shared" ref="E32:F32" si="27">D32*1.04</f>
        <v>1716</v>
      </c>
      <c r="F32" s="85">
        <f t="shared" si="27"/>
        <v>1784.64</v>
      </c>
    </row>
    <row r="33" spans="1:6" x14ac:dyDescent="0.25">
      <c r="A33" s="478" t="s">
        <v>909</v>
      </c>
      <c r="B33" s="489">
        <v>120</v>
      </c>
      <c r="C33" s="493">
        <v>35</v>
      </c>
      <c r="D33" s="87">
        <f t="shared" si="0"/>
        <v>4200</v>
      </c>
      <c r="E33" s="85">
        <f t="shared" ref="E33:F33" si="28">D33*1.04</f>
        <v>4368</v>
      </c>
      <c r="F33" s="85">
        <f t="shared" si="28"/>
        <v>4542.72</v>
      </c>
    </row>
    <row r="34" spans="1:6" x14ac:dyDescent="0.25">
      <c r="A34" s="478" t="s">
        <v>910</v>
      </c>
      <c r="B34" s="489">
        <v>132</v>
      </c>
      <c r="C34" s="493">
        <v>35</v>
      </c>
      <c r="D34" s="87">
        <f t="shared" si="0"/>
        <v>4620</v>
      </c>
      <c r="E34" s="85">
        <f t="shared" ref="E34:F34" si="29">D34*1.04</f>
        <v>4804.8</v>
      </c>
      <c r="F34" s="85">
        <f t="shared" si="29"/>
        <v>4996.9920000000002</v>
      </c>
    </row>
    <row r="35" spans="1:6" x14ac:dyDescent="0.25">
      <c r="A35" s="478" t="s">
        <v>911</v>
      </c>
      <c r="B35" s="489">
        <v>90</v>
      </c>
      <c r="C35" s="493">
        <v>35</v>
      </c>
      <c r="D35" s="87">
        <f t="shared" si="0"/>
        <v>3150</v>
      </c>
      <c r="E35" s="85">
        <f t="shared" ref="E35:F35" si="30">D35*1.04</f>
        <v>3276</v>
      </c>
      <c r="F35" s="85">
        <f t="shared" si="30"/>
        <v>3407.04</v>
      </c>
    </row>
    <row r="36" spans="1:6" x14ac:dyDescent="0.25">
      <c r="A36" s="480" t="s">
        <v>915</v>
      </c>
      <c r="B36" s="489">
        <v>115</v>
      </c>
      <c r="C36" s="493">
        <v>96</v>
      </c>
      <c r="D36" s="87">
        <f t="shared" si="0"/>
        <v>11040</v>
      </c>
      <c r="E36" s="85">
        <f t="shared" ref="E36:F36" si="31">D36*1.04</f>
        <v>11481.6</v>
      </c>
      <c r="F36" s="85">
        <f t="shared" si="31"/>
        <v>11940.864000000001</v>
      </c>
    </row>
    <row r="37" spans="1:6" x14ac:dyDescent="0.25">
      <c r="A37" s="483" t="s">
        <v>919</v>
      </c>
      <c r="B37" s="489">
        <v>100</v>
      </c>
      <c r="C37" s="493">
        <v>40</v>
      </c>
      <c r="D37" s="87">
        <f t="shared" si="0"/>
        <v>4000</v>
      </c>
      <c r="E37" s="85">
        <f t="shared" ref="E37:F37" si="32">D37*1.04</f>
        <v>4160</v>
      </c>
      <c r="F37" s="85">
        <f t="shared" si="32"/>
        <v>4326.4000000000005</v>
      </c>
    </row>
    <row r="38" spans="1:6" x14ac:dyDescent="0.25">
      <c r="A38" s="484" t="s">
        <v>920</v>
      </c>
      <c r="B38" s="489">
        <v>180</v>
      </c>
      <c r="C38" s="493">
        <v>25</v>
      </c>
      <c r="D38" s="87">
        <f t="shared" si="0"/>
        <v>4500</v>
      </c>
      <c r="E38" s="85">
        <f t="shared" ref="E38:F38" si="33">D38*1.04</f>
        <v>4680</v>
      </c>
      <c r="F38" s="85">
        <f t="shared" si="33"/>
        <v>4867.2</v>
      </c>
    </row>
    <row r="39" spans="1:6" x14ac:dyDescent="0.25">
      <c r="A39" s="484" t="s">
        <v>921</v>
      </c>
      <c r="B39" s="490">
        <v>409.1</v>
      </c>
      <c r="C39" s="493">
        <v>11</v>
      </c>
      <c r="D39" s="87">
        <f t="shared" si="0"/>
        <v>4500.1000000000004</v>
      </c>
      <c r="E39" s="85">
        <f t="shared" ref="E39:F39" si="34">D39*1.04</f>
        <v>4680.1040000000003</v>
      </c>
      <c r="F39" s="85">
        <f t="shared" si="34"/>
        <v>4867.3081600000005</v>
      </c>
    </row>
    <row r="40" spans="1:6" x14ac:dyDescent="0.25">
      <c r="A40" s="484" t="s">
        <v>918</v>
      </c>
      <c r="B40" s="490">
        <v>1200</v>
      </c>
      <c r="C40" s="493">
        <v>10</v>
      </c>
      <c r="D40" s="87">
        <f t="shared" si="0"/>
        <v>12000</v>
      </c>
      <c r="E40" s="85">
        <f t="shared" ref="E40:F40" si="35">D40*1.04</f>
        <v>12480</v>
      </c>
      <c r="F40" s="85">
        <f t="shared" si="35"/>
        <v>12979.2</v>
      </c>
    </row>
    <row r="41" spans="1:6" x14ac:dyDescent="0.25">
      <c r="A41" s="93"/>
      <c r="B41" s="85"/>
      <c r="C41" s="85"/>
      <c r="D41" s="87">
        <f t="shared" si="0"/>
        <v>0</v>
      </c>
      <c r="E41" s="85">
        <f t="shared" ref="E41:F41" si="36">D41*1.04</f>
        <v>0</v>
      </c>
      <c r="F41" s="85">
        <f t="shared" si="36"/>
        <v>0</v>
      </c>
    </row>
    <row r="42" spans="1:6" x14ac:dyDescent="0.25">
      <c r="A42" s="92"/>
      <c r="B42" s="40"/>
      <c r="C42" s="85"/>
      <c r="D42" s="87">
        <f t="shared" si="0"/>
        <v>0</v>
      </c>
      <c r="E42" s="85">
        <f t="shared" ref="E42:F42" si="37">D42*1.04</f>
        <v>0</v>
      </c>
      <c r="F42" s="85">
        <f t="shared" si="37"/>
        <v>0</v>
      </c>
    </row>
    <row r="43" spans="1:6" x14ac:dyDescent="0.25">
      <c r="A43" s="92"/>
      <c r="B43" s="40"/>
      <c r="C43" s="85"/>
      <c r="D43" s="87">
        <f t="shared" si="0"/>
        <v>0</v>
      </c>
      <c r="E43" s="85">
        <f t="shared" ref="E43:F43" si="38">D43*1.04</f>
        <v>0</v>
      </c>
      <c r="F43" s="85">
        <f t="shared" si="38"/>
        <v>0</v>
      </c>
    </row>
    <row r="44" spans="1:6" x14ac:dyDescent="0.25">
      <c r="A44" s="92"/>
      <c r="B44" s="40"/>
      <c r="C44" s="85"/>
      <c r="D44" s="87">
        <f t="shared" si="0"/>
        <v>0</v>
      </c>
      <c r="E44" s="85">
        <f t="shared" ref="E44:F44" si="39">D44*1.04</f>
        <v>0</v>
      </c>
      <c r="F44" s="85">
        <f t="shared" si="39"/>
        <v>0</v>
      </c>
    </row>
    <row r="45" spans="1:6" x14ac:dyDescent="0.25">
      <c r="A45" s="92"/>
      <c r="B45" s="40"/>
      <c r="C45" s="85"/>
      <c r="D45" s="87">
        <f t="shared" si="0"/>
        <v>0</v>
      </c>
      <c r="E45" s="85">
        <f t="shared" ref="E45:F45" si="40">D45*1.04</f>
        <v>0</v>
      </c>
      <c r="F45" s="85">
        <f t="shared" si="40"/>
        <v>0</v>
      </c>
    </row>
    <row r="46" spans="1:6" x14ac:dyDescent="0.25">
      <c r="A46" s="92"/>
      <c r="B46" s="40"/>
      <c r="C46" s="40"/>
      <c r="D46" s="87">
        <f t="shared" si="0"/>
        <v>0</v>
      </c>
      <c r="E46" s="85">
        <f t="shared" ref="E46:F46" si="41">D46*1.04</f>
        <v>0</v>
      </c>
      <c r="F46" s="85">
        <f t="shared" si="41"/>
        <v>0</v>
      </c>
    </row>
    <row r="47" spans="1:6" x14ac:dyDescent="0.25">
      <c r="A47" s="94"/>
      <c r="B47" s="40"/>
      <c r="C47" s="40"/>
      <c r="D47" s="87">
        <f t="shared" si="0"/>
        <v>0</v>
      </c>
      <c r="E47" s="85">
        <f t="shared" ref="E47:F47" si="42">D47*1.04</f>
        <v>0</v>
      </c>
      <c r="F47" s="85">
        <f t="shared" si="42"/>
        <v>0</v>
      </c>
    </row>
    <row r="48" spans="1:6" x14ac:dyDescent="0.25">
      <c r="A48" s="94"/>
      <c r="B48" s="40"/>
      <c r="C48" s="40"/>
      <c r="D48" s="87">
        <f t="shared" si="0"/>
        <v>0</v>
      </c>
      <c r="E48" s="85">
        <f t="shared" ref="E48:F48" si="43">D48*1.04</f>
        <v>0</v>
      </c>
      <c r="F48" s="85">
        <f t="shared" si="43"/>
        <v>0</v>
      </c>
    </row>
    <row r="49" spans="1:6" x14ac:dyDescent="0.25">
      <c r="A49" s="94"/>
      <c r="B49" s="40"/>
      <c r="C49" s="40"/>
      <c r="D49" s="87">
        <f t="shared" si="0"/>
        <v>0</v>
      </c>
      <c r="E49" s="85">
        <f t="shared" ref="E49:F49" si="44">D49*1.04</f>
        <v>0</v>
      </c>
      <c r="F49" s="85">
        <f t="shared" si="44"/>
        <v>0</v>
      </c>
    </row>
    <row r="50" spans="1:6" x14ac:dyDescent="0.25">
      <c r="A50" s="95"/>
      <c r="B50" s="96"/>
      <c r="C50" s="96"/>
      <c r="D50" s="87">
        <f t="shared" si="0"/>
        <v>0</v>
      </c>
      <c r="E50" s="85">
        <f t="shared" ref="E50:F50" si="45">D50*1.04</f>
        <v>0</v>
      </c>
      <c r="F50" s="85">
        <f t="shared" si="45"/>
        <v>0</v>
      </c>
    </row>
    <row r="51" spans="1:6" x14ac:dyDescent="0.25">
      <c r="A51" s="94"/>
      <c r="B51" s="40"/>
      <c r="C51" s="40"/>
      <c r="D51" s="87">
        <f t="shared" si="0"/>
        <v>0</v>
      </c>
      <c r="E51" s="85">
        <f t="shared" ref="E51:F51" si="46">D51*1.04</f>
        <v>0</v>
      </c>
      <c r="F51" s="85">
        <f t="shared" si="46"/>
        <v>0</v>
      </c>
    </row>
    <row r="52" spans="1:6" x14ac:dyDescent="0.25">
      <c r="A52" s="345"/>
      <c r="B52" s="85"/>
      <c r="C52" s="86"/>
      <c r="D52" s="87"/>
      <c r="E52" s="85"/>
      <c r="F52" s="85"/>
    </row>
    <row r="53" spans="1:6" hidden="1" x14ac:dyDescent="0.25">
      <c r="A53" s="345"/>
      <c r="B53" s="85"/>
      <c r="C53" s="86"/>
      <c r="D53" s="87"/>
      <c r="E53" s="85"/>
      <c r="F53" s="85"/>
    </row>
    <row r="54" spans="1:6" hidden="1" x14ac:dyDescent="0.25">
      <c r="A54" s="345"/>
      <c r="B54" s="85"/>
      <c r="C54" s="86"/>
      <c r="D54" s="87"/>
      <c r="E54" s="85"/>
      <c r="F54" s="85"/>
    </row>
    <row r="55" spans="1:6" hidden="1" x14ac:dyDescent="0.25">
      <c r="A55" s="345"/>
      <c r="B55" s="345"/>
      <c r="C55" s="345"/>
      <c r="D55" s="87"/>
      <c r="E55" s="85"/>
      <c r="F55" s="85"/>
    </row>
    <row r="56" spans="1:6" x14ac:dyDescent="0.25">
      <c r="A56" s="345" t="s">
        <v>4</v>
      </c>
      <c r="B56" s="85"/>
      <c r="C56" s="6">
        <f>SUM(C5:C55)</f>
        <v>1626</v>
      </c>
      <c r="D56" s="7">
        <f>SUM(D5:D55)-3.64</f>
        <v>197018.46</v>
      </c>
      <c r="E56" s="7">
        <f t="shared" ref="E56:F56" si="47">SUM(E5:E55)</f>
        <v>204902.984</v>
      </c>
      <c r="F56" s="7">
        <f t="shared" si="47"/>
        <v>213099.10336000007</v>
      </c>
    </row>
  </sheetData>
  <mergeCells count="3">
    <mergeCell ref="A3:A4"/>
    <mergeCell ref="B3:F3"/>
    <mergeCell ref="A1:F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6"/>
  <sheetViews>
    <sheetView view="pageBreakPreview" zoomScaleSheetLayoutView="100" workbookViewId="0">
      <selection sqref="A1:F1"/>
    </sheetView>
  </sheetViews>
  <sheetFormatPr defaultRowHeight="15" x14ac:dyDescent="0.25"/>
  <cols>
    <col min="1" max="1" width="29.7109375" customWidth="1"/>
    <col min="2" max="2" width="10.140625" customWidth="1"/>
    <col min="3" max="3" width="12.140625" customWidth="1"/>
    <col min="4" max="6" width="17.85546875" bestFit="1" customWidth="1"/>
    <col min="7" max="7" width="9.42578125" customWidth="1"/>
  </cols>
  <sheetData>
    <row r="1" spans="1:6" x14ac:dyDescent="0.25">
      <c r="A1" s="739" t="s">
        <v>9</v>
      </c>
      <c r="B1" s="739"/>
      <c r="C1" s="739"/>
      <c r="D1" s="739"/>
      <c r="E1" s="739"/>
      <c r="F1" s="739"/>
    </row>
    <row r="3" spans="1:6" ht="32.25" customHeight="1" x14ac:dyDescent="0.25">
      <c r="A3" s="740" t="s">
        <v>0</v>
      </c>
      <c r="B3" s="740" t="s">
        <v>544</v>
      </c>
      <c r="C3" s="740"/>
      <c r="D3" s="740"/>
      <c r="E3" s="740"/>
      <c r="F3" s="740"/>
    </row>
    <row r="4" spans="1:6" ht="30" x14ac:dyDescent="0.25">
      <c r="A4" s="740"/>
      <c r="B4" s="132" t="s">
        <v>225</v>
      </c>
      <c r="C4" s="1" t="s">
        <v>2</v>
      </c>
      <c r="D4" s="2" t="s">
        <v>16</v>
      </c>
      <c r="E4" s="2" t="s">
        <v>3</v>
      </c>
      <c r="F4" s="2" t="s">
        <v>5</v>
      </c>
    </row>
    <row r="5" spans="1:6" x14ac:dyDescent="0.25">
      <c r="A5" s="84"/>
      <c r="B5" s="85"/>
      <c r="C5" s="86"/>
      <c r="D5" s="5">
        <f>B5*C5</f>
        <v>0</v>
      </c>
      <c r="E5" s="3">
        <f>D5*1.04</f>
        <v>0</v>
      </c>
      <c r="F5" s="3">
        <f>E5*1.04</f>
        <v>0</v>
      </c>
    </row>
    <row r="6" spans="1:6" x14ac:dyDescent="0.25">
      <c r="A6" s="82"/>
      <c r="B6" s="85"/>
      <c r="C6" s="86"/>
      <c r="D6" s="87">
        <f>B6*C6</f>
        <v>0</v>
      </c>
      <c r="E6" s="85">
        <f>D6*1.04</f>
        <v>0</v>
      </c>
      <c r="F6" s="85">
        <f>E6*1.04</f>
        <v>0</v>
      </c>
    </row>
    <row r="7" spans="1:6" hidden="1" x14ac:dyDescent="0.25">
      <c r="A7" s="1"/>
      <c r="B7" s="3"/>
      <c r="C7" s="4"/>
      <c r="D7" s="5">
        <f t="shared" ref="D7:D15" si="0">B7*C7*1.042</f>
        <v>0</v>
      </c>
      <c r="E7" s="3"/>
      <c r="F7" s="3"/>
    </row>
    <row r="8" spans="1:6" hidden="1" x14ac:dyDescent="0.25">
      <c r="A8" s="1"/>
      <c r="B8" s="3"/>
      <c r="C8" s="4"/>
      <c r="D8" s="5">
        <f t="shared" si="0"/>
        <v>0</v>
      </c>
      <c r="E8" s="3"/>
      <c r="F8" s="3"/>
    </row>
    <row r="9" spans="1:6" hidden="1" x14ac:dyDescent="0.25">
      <c r="A9" s="1"/>
      <c r="B9" s="3"/>
      <c r="C9" s="4"/>
      <c r="D9" s="5">
        <f t="shared" si="0"/>
        <v>0</v>
      </c>
      <c r="E9" s="3"/>
      <c r="F9" s="3"/>
    </row>
    <row r="10" spans="1:6" hidden="1" x14ac:dyDescent="0.25">
      <c r="A10" s="1"/>
      <c r="B10" s="3"/>
      <c r="C10" s="4"/>
      <c r="D10" s="5">
        <f t="shared" si="0"/>
        <v>0</v>
      </c>
      <c r="E10" s="3"/>
      <c r="F10" s="3"/>
    </row>
    <row r="11" spans="1:6" hidden="1" x14ac:dyDescent="0.25">
      <c r="A11" s="1"/>
      <c r="B11" s="3"/>
      <c r="C11" s="4"/>
      <c r="D11" s="5">
        <f t="shared" si="0"/>
        <v>0</v>
      </c>
      <c r="E11" s="3"/>
      <c r="F11" s="3"/>
    </row>
    <row r="12" spans="1:6" hidden="1" x14ac:dyDescent="0.25">
      <c r="A12" s="1"/>
      <c r="B12" s="3"/>
      <c r="C12" s="4"/>
      <c r="D12" s="5">
        <f t="shared" si="0"/>
        <v>0</v>
      </c>
      <c r="E12" s="3"/>
      <c r="F12" s="3"/>
    </row>
    <row r="13" spans="1:6" hidden="1" x14ac:dyDescent="0.25">
      <c r="A13" s="1"/>
      <c r="B13" s="3"/>
      <c r="C13" s="4"/>
      <c r="D13" s="5">
        <f t="shared" si="0"/>
        <v>0</v>
      </c>
      <c r="E13" s="3"/>
      <c r="F13" s="3"/>
    </row>
    <row r="14" spans="1:6" hidden="1" x14ac:dyDescent="0.25">
      <c r="A14" s="1"/>
      <c r="B14" s="3"/>
      <c r="C14" s="4"/>
      <c r="D14" s="5">
        <f t="shared" si="0"/>
        <v>0</v>
      </c>
      <c r="E14" s="3"/>
      <c r="F14" s="3"/>
    </row>
    <row r="15" spans="1:6" hidden="1" x14ac:dyDescent="0.25">
      <c r="A15" s="1"/>
      <c r="B15" s="1"/>
      <c r="C15" s="1"/>
      <c r="D15" s="5">
        <f t="shared" si="0"/>
        <v>0</v>
      </c>
      <c r="E15" s="3"/>
      <c r="F15" s="3"/>
    </row>
    <row r="16" spans="1:6" x14ac:dyDescent="0.25">
      <c r="A16" s="1" t="s">
        <v>4</v>
      </c>
      <c r="B16" s="3"/>
      <c r="C16" s="6">
        <f>SUM(C5:C15)</f>
        <v>0</v>
      </c>
      <c r="D16" s="7">
        <f t="shared" ref="D16:F16" si="1">SUM(D5:D15)</f>
        <v>0</v>
      </c>
      <c r="E16" s="7">
        <f t="shared" si="1"/>
        <v>0</v>
      </c>
      <c r="F16" s="7">
        <f t="shared" si="1"/>
        <v>0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 tint="-0.249977111117893"/>
    <pageSetUpPr autoPageBreaks="0"/>
  </sheetPr>
  <dimension ref="A1:F13"/>
  <sheetViews>
    <sheetView view="pageBreakPreview" zoomScaleSheetLayoutView="100" workbookViewId="0">
      <selection activeCell="CL134" sqref="CL134:DA134"/>
    </sheetView>
  </sheetViews>
  <sheetFormatPr defaultRowHeight="12.75" x14ac:dyDescent="0.25"/>
  <cols>
    <col min="1" max="1" width="32.42578125" style="29" customWidth="1"/>
    <col min="2" max="2" width="21.28515625" style="29" customWidth="1"/>
    <col min="3" max="3" width="17" style="29" customWidth="1"/>
    <col min="4" max="4" width="16.42578125" style="29" customWidth="1"/>
    <col min="5" max="5" width="12.140625" style="29" customWidth="1"/>
    <col min="6" max="6" width="13.28515625" style="29" customWidth="1"/>
    <col min="7" max="255" width="9.140625" style="29"/>
    <col min="256" max="256" width="44" style="29" customWidth="1"/>
    <col min="257" max="257" width="17.140625" style="29" customWidth="1"/>
    <col min="258" max="259" width="16.42578125" style="29" customWidth="1"/>
    <col min="260" max="511" width="9.140625" style="29"/>
    <col min="512" max="512" width="44" style="29" customWidth="1"/>
    <col min="513" max="513" width="17.140625" style="29" customWidth="1"/>
    <col min="514" max="515" width="16.42578125" style="29" customWidth="1"/>
    <col min="516" max="767" width="9.140625" style="29"/>
    <col min="768" max="768" width="44" style="29" customWidth="1"/>
    <col min="769" max="769" width="17.140625" style="29" customWidth="1"/>
    <col min="770" max="771" width="16.42578125" style="29" customWidth="1"/>
    <col min="772" max="1023" width="9.140625" style="29"/>
    <col min="1024" max="1024" width="44" style="29" customWidth="1"/>
    <col min="1025" max="1025" width="17.140625" style="29" customWidth="1"/>
    <col min="1026" max="1027" width="16.42578125" style="29" customWidth="1"/>
    <col min="1028" max="1279" width="9.140625" style="29"/>
    <col min="1280" max="1280" width="44" style="29" customWidth="1"/>
    <col min="1281" max="1281" width="17.140625" style="29" customWidth="1"/>
    <col min="1282" max="1283" width="16.42578125" style="29" customWidth="1"/>
    <col min="1284" max="1535" width="9.140625" style="29"/>
    <col min="1536" max="1536" width="44" style="29" customWidth="1"/>
    <col min="1537" max="1537" width="17.140625" style="29" customWidth="1"/>
    <col min="1538" max="1539" width="16.42578125" style="29" customWidth="1"/>
    <col min="1540" max="1791" width="9.140625" style="29"/>
    <col min="1792" max="1792" width="44" style="29" customWidth="1"/>
    <col min="1793" max="1793" width="17.140625" style="29" customWidth="1"/>
    <col min="1794" max="1795" width="16.42578125" style="29" customWidth="1"/>
    <col min="1796" max="2047" width="9.140625" style="29"/>
    <col min="2048" max="2048" width="44" style="29" customWidth="1"/>
    <col min="2049" max="2049" width="17.140625" style="29" customWidth="1"/>
    <col min="2050" max="2051" width="16.42578125" style="29" customWidth="1"/>
    <col min="2052" max="2303" width="9.140625" style="29"/>
    <col min="2304" max="2304" width="44" style="29" customWidth="1"/>
    <col min="2305" max="2305" width="17.140625" style="29" customWidth="1"/>
    <col min="2306" max="2307" width="16.42578125" style="29" customWidth="1"/>
    <col min="2308" max="2559" width="9.140625" style="29"/>
    <col min="2560" max="2560" width="44" style="29" customWidth="1"/>
    <col min="2561" max="2561" width="17.140625" style="29" customWidth="1"/>
    <col min="2562" max="2563" width="16.42578125" style="29" customWidth="1"/>
    <col min="2564" max="2815" width="9.140625" style="29"/>
    <col min="2816" max="2816" width="44" style="29" customWidth="1"/>
    <col min="2817" max="2817" width="17.140625" style="29" customWidth="1"/>
    <col min="2818" max="2819" width="16.42578125" style="29" customWidth="1"/>
    <col min="2820" max="3071" width="9.140625" style="29"/>
    <col min="3072" max="3072" width="44" style="29" customWidth="1"/>
    <col min="3073" max="3073" width="17.140625" style="29" customWidth="1"/>
    <col min="3074" max="3075" width="16.42578125" style="29" customWidth="1"/>
    <col min="3076" max="3327" width="9.140625" style="29"/>
    <col min="3328" max="3328" width="44" style="29" customWidth="1"/>
    <col min="3329" max="3329" width="17.140625" style="29" customWidth="1"/>
    <col min="3330" max="3331" width="16.42578125" style="29" customWidth="1"/>
    <col min="3332" max="3583" width="9.140625" style="29"/>
    <col min="3584" max="3584" width="44" style="29" customWidth="1"/>
    <col min="3585" max="3585" width="17.140625" style="29" customWidth="1"/>
    <col min="3586" max="3587" width="16.42578125" style="29" customWidth="1"/>
    <col min="3588" max="3839" width="9.140625" style="29"/>
    <col min="3840" max="3840" width="44" style="29" customWidth="1"/>
    <col min="3841" max="3841" width="17.140625" style="29" customWidth="1"/>
    <col min="3842" max="3843" width="16.42578125" style="29" customWidth="1"/>
    <col min="3844" max="4095" width="9.140625" style="29"/>
    <col min="4096" max="4096" width="44" style="29" customWidth="1"/>
    <col min="4097" max="4097" width="17.140625" style="29" customWidth="1"/>
    <col min="4098" max="4099" width="16.42578125" style="29" customWidth="1"/>
    <col min="4100" max="4351" width="9.140625" style="29"/>
    <col min="4352" max="4352" width="44" style="29" customWidth="1"/>
    <col min="4353" max="4353" width="17.140625" style="29" customWidth="1"/>
    <col min="4354" max="4355" width="16.42578125" style="29" customWidth="1"/>
    <col min="4356" max="4607" width="9.140625" style="29"/>
    <col min="4608" max="4608" width="44" style="29" customWidth="1"/>
    <col min="4609" max="4609" width="17.140625" style="29" customWidth="1"/>
    <col min="4610" max="4611" width="16.42578125" style="29" customWidth="1"/>
    <col min="4612" max="4863" width="9.140625" style="29"/>
    <col min="4864" max="4864" width="44" style="29" customWidth="1"/>
    <col min="4865" max="4865" width="17.140625" style="29" customWidth="1"/>
    <col min="4866" max="4867" width="16.42578125" style="29" customWidth="1"/>
    <col min="4868" max="5119" width="9.140625" style="29"/>
    <col min="5120" max="5120" width="44" style="29" customWidth="1"/>
    <col min="5121" max="5121" width="17.140625" style="29" customWidth="1"/>
    <col min="5122" max="5123" width="16.42578125" style="29" customWidth="1"/>
    <col min="5124" max="5375" width="9.140625" style="29"/>
    <col min="5376" max="5376" width="44" style="29" customWidth="1"/>
    <col min="5377" max="5377" width="17.140625" style="29" customWidth="1"/>
    <col min="5378" max="5379" width="16.42578125" style="29" customWidth="1"/>
    <col min="5380" max="5631" width="9.140625" style="29"/>
    <col min="5632" max="5632" width="44" style="29" customWidth="1"/>
    <col min="5633" max="5633" width="17.140625" style="29" customWidth="1"/>
    <col min="5634" max="5635" width="16.42578125" style="29" customWidth="1"/>
    <col min="5636" max="5887" width="9.140625" style="29"/>
    <col min="5888" max="5888" width="44" style="29" customWidth="1"/>
    <col min="5889" max="5889" width="17.140625" style="29" customWidth="1"/>
    <col min="5890" max="5891" width="16.42578125" style="29" customWidth="1"/>
    <col min="5892" max="6143" width="9.140625" style="29"/>
    <col min="6144" max="6144" width="44" style="29" customWidth="1"/>
    <col min="6145" max="6145" width="17.140625" style="29" customWidth="1"/>
    <col min="6146" max="6147" width="16.42578125" style="29" customWidth="1"/>
    <col min="6148" max="6399" width="9.140625" style="29"/>
    <col min="6400" max="6400" width="44" style="29" customWidth="1"/>
    <col min="6401" max="6401" width="17.140625" style="29" customWidth="1"/>
    <col min="6402" max="6403" width="16.42578125" style="29" customWidth="1"/>
    <col min="6404" max="6655" width="9.140625" style="29"/>
    <col min="6656" max="6656" width="44" style="29" customWidth="1"/>
    <col min="6657" max="6657" width="17.140625" style="29" customWidth="1"/>
    <col min="6658" max="6659" width="16.42578125" style="29" customWidth="1"/>
    <col min="6660" max="6911" width="9.140625" style="29"/>
    <col min="6912" max="6912" width="44" style="29" customWidth="1"/>
    <col min="6913" max="6913" width="17.140625" style="29" customWidth="1"/>
    <col min="6914" max="6915" width="16.42578125" style="29" customWidth="1"/>
    <col min="6916" max="7167" width="9.140625" style="29"/>
    <col min="7168" max="7168" width="44" style="29" customWidth="1"/>
    <col min="7169" max="7169" width="17.140625" style="29" customWidth="1"/>
    <col min="7170" max="7171" width="16.42578125" style="29" customWidth="1"/>
    <col min="7172" max="7423" width="9.140625" style="29"/>
    <col min="7424" max="7424" width="44" style="29" customWidth="1"/>
    <col min="7425" max="7425" width="17.140625" style="29" customWidth="1"/>
    <col min="7426" max="7427" width="16.42578125" style="29" customWidth="1"/>
    <col min="7428" max="7679" width="9.140625" style="29"/>
    <col min="7680" max="7680" width="44" style="29" customWidth="1"/>
    <col min="7681" max="7681" width="17.140625" style="29" customWidth="1"/>
    <col min="7682" max="7683" width="16.42578125" style="29" customWidth="1"/>
    <col min="7684" max="7935" width="9.140625" style="29"/>
    <col min="7936" max="7936" width="44" style="29" customWidth="1"/>
    <col min="7937" max="7937" width="17.140625" style="29" customWidth="1"/>
    <col min="7938" max="7939" width="16.42578125" style="29" customWidth="1"/>
    <col min="7940" max="8191" width="9.140625" style="29"/>
    <col min="8192" max="8192" width="44" style="29" customWidth="1"/>
    <col min="8193" max="8193" width="17.140625" style="29" customWidth="1"/>
    <col min="8194" max="8195" width="16.42578125" style="29" customWidth="1"/>
    <col min="8196" max="8447" width="9.140625" style="29"/>
    <col min="8448" max="8448" width="44" style="29" customWidth="1"/>
    <col min="8449" max="8449" width="17.140625" style="29" customWidth="1"/>
    <col min="8450" max="8451" width="16.42578125" style="29" customWidth="1"/>
    <col min="8452" max="8703" width="9.140625" style="29"/>
    <col min="8704" max="8704" width="44" style="29" customWidth="1"/>
    <col min="8705" max="8705" width="17.140625" style="29" customWidth="1"/>
    <col min="8706" max="8707" width="16.42578125" style="29" customWidth="1"/>
    <col min="8708" max="8959" width="9.140625" style="29"/>
    <col min="8960" max="8960" width="44" style="29" customWidth="1"/>
    <col min="8961" max="8961" width="17.140625" style="29" customWidth="1"/>
    <col min="8962" max="8963" width="16.42578125" style="29" customWidth="1"/>
    <col min="8964" max="9215" width="9.140625" style="29"/>
    <col min="9216" max="9216" width="44" style="29" customWidth="1"/>
    <col min="9217" max="9217" width="17.140625" style="29" customWidth="1"/>
    <col min="9218" max="9219" width="16.42578125" style="29" customWidth="1"/>
    <col min="9220" max="9471" width="9.140625" style="29"/>
    <col min="9472" max="9472" width="44" style="29" customWidth="1"/>
    <col min="9473" max="9473" width="17.140625" style="29" customWidth="1"/>
    <col min="9474" max="9475" width="16.42578125" style="29" customWidth="1"/>
    <col min="9476" max="9727" width="9.140625" style="29"/>
    <col min="9728" max="9728" width="44" style="29" customWidth="1"/>
    <col min="9729" max="9729" width="17.140625" style="29" customWidth="1"/>
    <col min="9730" max="9731" width="16.42578125" style="29" customWidth="1"/>
    <col min="9732" max="9983" width="9.140625" style="29"/>
    <col min="9984" max="9984" width="44" style="29" customWidth="1"/>
    <col min="9985" max="9985" width="17.140625" style="29" customWidth="1"/>
    <col min="9986" max="9987" width="16.42578125" style="29" customWidth="1"/>
    <col min="9988" max="10239" width="9.140625" style="29"/>
    <col min="10240" max="10240" width="44" style="29" customWidth="1"/>
    <col min="10241" max="10241" width="17.140625" style="29" customWidth="1"/>
    <col min="10242" max="10243" width="16.42578125" style="29" customWidth="1"/>
    <col min="10244" max="10495" width="9.140625" style="29"/>
    <col min="10496" max="10496" width="44" style="29" customWidth="1"/>
    <col min="10497" max="10497" width="17.140625" style="29" customWidth="1"/>
    <col min="10498" max="10499" width="16.42578125" style="29" customWidth="1"/>
    <col min="10500" max="10751" width="9.140625" style="29"/>
    <col min="10752" max="10752" width="44" style="29" customWidth="1"/>
    <col min="10753" max="10753" width="17.140625" style="29" customWidth="1"/>
    <col min="10754" max="10755" width="16.42578125" style="29" customWidth="1"/>
    <col min="10756" max="11007" width="9.140625" style="29"/>
    <col min="11008" max="11008" width="44" style="29" customWidth="1"/>
    <col min="11009" max="11009" width="17.140625" style="29" customWidth="1"/>
    <col min="11010" max="11011" width="16.42578125" style="29" customWidth="1"/>
    <col min="11012" max="11263" width="9.140625" style="29"/>
    <col min="11264" max="11264" width="44" style="29" customWidth="1"/>
    <col min="11265" max="11265" width="17.140625" style="29" customWidth="1"/>
    <col min="11266" max="11267" width="16.42578125" style="29" customWidth="1"/>
    <col min="11268" max="11519" width="9.140625" style="29"/>
    <col min="11520" max="11520" width="44" style="29" customWidth="1"/>
    <col min="11521" max="11521" width="17.140625" style="29" customWidth="1"/>
    <col min="11522" max="11523" width="16.42578125" style="29" customWidth="1"/>
    <col min="11524" max="11775" width="9.140625" style="29"/>
    <col min="11776" max="11776" width="44" style="29" customWidth="1"/>
    <col min="11777" max="11777" width="17.140625" style="29" customWidth="1"/>
    <col min="11778" max="11779" width="16.42578125" style="29" customWidth="1"/>
    <col min="11780" max="12031" width="9.140625" style="29"/>
    <col min="12032" max="12032" width="44" style="29" customWidth="1"/>
    <col min="12033" max="12033" width="17.140625" style="29" customWidth="1"/>
    <col min="12034" max="12035" width="16.42578125" style="29" customWidth="1"/>
    <col min="12036" max="12287" width="9.140625" style="29"/>
    <col min="12288" max="12288" width="44" style="29" customWidth="1"/>
    <col min="12289" max="12289" width="17.140625" style="29" customWidth="1"/>
    <col min="12290" max="12291" width="16.42578125" style="29" customWidth="1"/>
    <col min="12292" max="12543" width="9.140625" style="29"/>
    <col min="12544" max="12544" width="44" style="29" customWidth="1"/>
    <col min="12545" max="12545" width="17.140625" style="29" customWidth="1"/>
    <col min="12546" max="12547" width="16.42578125" style="29" customWidth="1"/>
    <col min="12548" max="12799" width="9.140625" style="29"/>
    <col min="12800" max="12800" width="44" style="29" customWidth="1"/>
    <col min="12801" max="12801" width="17.140625" style="29" customWidth="1"/>
    <col min="12802" max="12803" width="16.42578125" style="29" customWidth="1"/>
    <col min="12804" max="13055" width="9.140625" style="29"/>
    <col min="13056" max="13056" width="44" style="29" customWidth="1"/>
    <col min="13057" max="13057" width="17.140625" style="29" customWidth="1"/>
    <col min="13058" max="13059" width="16.42578125" style="29" customWidth="1"/>
    <col min="13060" max="13311" width="9.140625" style="29"/>
    <col min="13312" max="13312" width="44" style="29" customWidth="1"/>
    <col min="13313" max="13313" width="17.140625" style="29" customWidth="1"/>
    <col min="13314" max="13315" width="16.42578125" style="29" customWidth="1"/>
    <col min="13316" max="13567" width="9.140625" style="29"/>
    <col min="13568" max="13568" width="44" style="29" customWidth="1"/>
    <col min="13569" max="13569" width="17.140625" style="29" customWidth="1"/>
    <col min="13570" max="13571" width="16.42578125" style="29" customWidth="1"/>
    <col min="13572" max="13823" width="9.140625" style="29"/>
    <col min="13824" max="13824" width="44" style="29" customWidth="1"/>
    <col min="13825" max="13825" width="17.140625" style="29" customWidth="1"/>
    <col min="13826" max="13827" width="16.42578125" style="29" customWidth="1"/>
    <col min="13828" max="14079" width="9.140625" style="29"/>
    <col min="14080" max="14080" width="44" style="29" customWidth="1"/>
    <col min="14081" max="14081" width="17.140625" style="29" customWidth="1"/>
    <col min="14082" max="14083" width="16.42578125" style="29" customWidth="1"/>
    <col min="14084" max="14335" width="9.140625" style="29"/>
    <col min="14336" max="14336" width="44" style="29" customWidth="1"/>
    <col min="14337" max="14337" width="17.140625" style="29" customWidth="1"/>
    <col min="14338" max="14339" width="16.42578125" style="29" customWidth="1"/>
    <col min="14340" max="14591" width="9.140625" style="29"/>
    <col min="14592" max="14592" width="44" style="29" customWidth="1"/>
    <col min="14593" max="14593" width="17.140625" style="29" customWidth="1"/>
    <col min="14594" max="14595" width="16.42578125" style="29" customWidth="1"/>
    <col min="14596" max="14847" width="9.140625" style="29"/>
    <col min="14848" max="14848" width="44" style="29" customWidth="1"/>
    <col min="14849" max="14849" width="17.140625" style="29" customWidth="1"/>
    <col min="14850" max="14851" width="16.42578125" style="29" customWidth="1"/>
    <col min="14852" max="15103" width="9.140625" style="29"/>
    <col min="15104" max="15104" width="44" style="29" customWidth="1"/>
    <col min="15105" max="15105" width="17.140625" style="29" customWidth="1"/>
    <col min="15106" max="15107" width="16.42578125" style="29" customWidth="1"/>
    <col min="15108" max="15359" width="9.140625" style="29"/>
    <col min="15360" max="15360" width="44" style="29" customWidth="1"/>
    <col min="15361" max="15361" width="17.140625" style="29" customWidth="1"/>
    <col min="15362" max="15363" width="16.42578125" style="29" customWidth="1"/>
    <col min="15364" max="15615" width="9.140625" style="29"/>
    <col min="15616" max="15616" width="44" style="29" customWidth="1"/>
    <col min="15617" max="15617" width="17.140625" style="29" customWidth="1"/>
    <col min="15618" max="15619" width="16.42578125" style="29" customWidth="1"/>
    <col min="15620" max="15871" width="9.140625" style="29"/>
    <col min="15872" max="15872" width="44" style="29" customWidth="1"/>
    <col min="15873" max="15873" width="17.140625" style="29" customWidth="1"/>
    <col min="15874" max="15875" width="16.42578125" style="29" customWidth="1"/>
    <col min="15876" max="16127" width="9.140625" style="29"/>
    <col min="16128" max="16128" width="44" style="29" customWidth="1"/>
    <col min="16129" max="16129" width="17.140625" style="29" customWidth="1"/>
    <col min="16130" max="16131" width="16.42578125" style="29" customWidth="1"/>
    <col min="16132" max="16384" width="9.140625" style="29"/>
  </cols>
  <sheetData>
    <row r="1" spans="1:6" x14ac:dyDescent="0.25">
      <c r="A1" s="763" t="s">
        <v>89</v>
      </c>
      <c r="B1" s="763"/>
      <c r="C1" s="763"/>
      <c r="D1" s="763"/>
    </row>
    <row r="3" spans="1:6" ht="38.25" x14ac:dyDescent="0.25">
      <c r="A3" s="30" t="s">
        <v>96</v>
      </c>
      <c r="B3" s="31" t="s">
        <v>97</v>
      </c>
      <c r="C3" s="31" t="s">
        <v>90</v>
      </c>
      <c r="D3" s="31" t="s">
        <v>91</v>
      </c>
      <c r="E3" s="31" t="s">
        <v>92</v>
      </c>
      <c r="F3" s="31" t="s">
        <v>95</v>
      </c>
    </row>
    <row r="4" spans="1:6" ht="15" x14ac:dyDescent="0.25">
      <c r="A4" s="97"/>
      <c r="B4" s="32"/>
      <c r="C4" s="32"/>
      <c r="D4" s="234">
        <v>45856</v>
      </c>
      <c r="E4" s="235">
        <f>D4</f>
        <v>45856</v>
      </c>
      <c r="F4" s="235">
        <f>E4</f>
        <v>45856</v>
      </c>
    </row>
    <row r="5" spans="1:6" ht="15" x14ac:dyDescent="0.25">
      <c r="A5" s="39"/>
      <c r="B5" s="38"/>
      <c r="C5" s="32"/>
      <c r="D5" s="234">
        <f>ROUND(B5*C5%,0)</f>
        <v>0</v>
      </c>
      <c r="E5" s="235">
        <f>D5</f>
        <v>0</v>
      </c>
      <c r="F5" s="235">
        <f>E5</f>
        <v>0</v>
      </c>
    </row>
    <row r="6" spans="1:6" hidden="1" x14ac:dyDescent="0.25">
      <c r="A6" s="39"/>
      <c r="B6" s="39"/>
      <c r="C6" s="39"/>
      <c r="D6" s="236"/>
      <c r="E6" s="236"/>
      <c r="F6" s="236"/>
    </row>
    <row r="7" spans="1:6" hidden="1" x14ac:dyDescent="0.25">
      <c r="A7" s="39"/>
      <c r="B7" s="38"/>
      <c r="C7" s="38"/>
      <c r="D7" s="237"/>
      <c r="E7" s="236"/>
      <c r="F7" s="236"/>
    </row>
    <row r="8" spans="1:6" hidden="1" x14ac:dyDescent="0.25">
      <c r="A8" s="39"/>
      <c r="B8" s="39"/>
      <c r="C8" s="39"/>
      <c r="D8" s="236"/>
      <c r="E8" s="236"/>
      <c r="F8" s="236"/>
    </row>
    <row r="9" spans="1:6" hidden="1" x14ac:dyDescent="0.25">
      <c r="A9" s="39"/>
      <c r="B9" s="39"/>
      <c r="C9" s="39"/>
      <c r="D9" s="236"/>
      <c r="E9" s="236"/>
      <c r="F9" s="236"/>
    </row>
    <row r="10" spans="1:6" hidden="1" x14ac:dyDescent="0.25">
      <c r="A10" s="39"/>
      <c r="B10" s="39"/>
      <c r="C10" s="38"/>
      <c r="D10" s="237"/>
      <c r="E10" s="236"/>
      <c r="F10" s="236"/>
    </row>
    <row r="11" spans="1:6" hidden="1" x14ac:dyDescent="0.25">
      <c r="A11" s="39"/>
      <c r="B11" s="39"/>
      <c r="C11" s="39"/>
      <c r="D11" s="236"/>
      <c r="E11" s="236"/>
      <c r="F11" s="236"/>
    </row>
    <row r="12" spans="1:6" hidden="1" x14ac:dyDescent="0.25">
      <c r="A12" s="39"/>
      <c r="B12" s="39"/>
      <c r="C12" s="39"/>
      <c r="D12" s="236"/>
      <c r="E12" s="236"/>
      <c r="F12" s="236"/>
    </row>
    <row r="13" spans="1:6" s="233" customFormat="1" x14ac:dyDescent="0.25">
      <c r="A13" s="232" t="s">
        <v>4</v>
      </c>
      <c r="B13" s="232"/>
      <c r="C13" s="232"/>
      <c r="D13" s="238">
        <f>SUM(D4:D12)</f>
        <v>45856</v>
      </c>
      <c r="E13" s="238">
        <f t="shared" ref="E13:F13" si="0">SUM(E4:E12)</f>
        <v>45856</v>
      </c>
      <c r="F13" s="238">
        <f t="shared" si="0"/>
        <v>45856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0.249977111117893"/>
    <pageSetUpPr autoPageBreaks="0"/>
  </sheetPr>
  <dimension ref="A1:L6"/>
  <sheetViews>
    <sheetView view="pageBreakPreview" zoomScaleSheetLayoutView="100" workbookViewId="0">
      <selection activeCell="CL134" sqref="CL134:DA134"/>
    </sheetView>
  </sheetViews>
  <sheetFormatPr defaultRowHeight="12.75" x14ac:dyDescent="0.25"/>
  <cols>
    <col min="1" max="1" width="28.42578125" style="29" customWidth="1"/>
    <col min="2" max="2" width="12.140625" style="29" customWidth="1"/>
    <col min="3" max="3" width="13" style="29" customWidth="1"/>
    <col min="4" max="4" width="14" style="29" customWidth="1"/>
    <col min="5" max="5" width="13.28515625" style="29" customWidth="1"/>
    <col min="6" max="252" width="9.140625" style="29"/>
    <col min="253" max="253" width="44" style="29" customWidth="1"/>
    <col min="254" max="254" width="21.140625" style="29" customWidth="1"/>
    <col min="255" max="255" width="18.5703125" style="29" customWidth="1"/>
    <col min="256" max="256" width="20.140625" style="29" customWidth="1"/>
    <col min="257" max="257" width="16.28515625" style="29" customWidth="1"/>
    <col min="258" max="258" width="9.140625" style="29"/>
    <col min="259" max="259" width="14.140625" style="29" customWidth="1"/>
    <col min="260" max="260" width="9.140625" style="29"/>
    <col min="261" max="261" width="11.7109375" style="29" bestFit="1" customWidth="1"/>
    <col min="262" max="508" width="9.140625" style="29"/>
    <col min="509" max="509" width="44" style="29" customWidth="1"/>
    <col min="510" max="510" width="21.140625" style="29" customWidth="1"/>
    <col min="511" max="511" width="18.5703125" style="29" customWidth="1"/>
    <col min="512" max="512" width="20.140625" style="29" customWidth="1"/>
    <col min="513" max="513" width="16.28515625" style="29" customWidth="1"/>
    <col min="514" max="514" width="9.140625" style="29"/>
    <col min="515" max="515" width="14.140625" style="29" customWidth="1"/>
    <col min="516" max="516" width="9.140625" style="29"/>
    <col min="517" max="517" width="11.7109375" style="29" bestFit="1" customWidth="1"/>
    <col min="518" max="764" width="9.140625" style="29"/>
    <col min="765" max="765" width="44" style="29" customWidth="1"/>
    <col min="766" max="766" width="21.140625" style="29" customWidth="1"/>
    <col min="767" max="767" width="18.5703125" style="29" customWidth="1"/>
    <col min="768" max="768" width="20.140625" style="29" customWidth="1"/>
    <col min="769" max="769" width="16.28515625" style="29" customWidth="1"/>
    <col min="770" max="770" width="9.140625" style="29"/>
    <col min="771" max="771" width="14.140625" style="29" customWidth="1"/>
    <col min="772" max="772" width="9.140625" style="29"/>
    <col min="773" max="773" width="11.7109375" style="29" bestFit="1" customWidth="1"/>
    <col min="774" max="1020" width="9.140625" style="29"/>
    <col min="1021" max="1021" width="44" style="29" customWidth="1"/>
    <col min="1022" max="1022" width="21.140625" style="29" customWidth="1"/>
    <col min="1023" max="1023" width="18.5703125" style="29" customWidth="1"/>
    <col min="1024" max="1024" width="20.140625" style="29" customWidth="1"/>
    <col min="1025" max="1025" width="16.28515625" style="29" customWidth="1"/>
    <col min="1026" max="1026" width="9.140625" style="29"/>
    <col min="1027" max="1027" width="14.140625" style="29" customWidth="1"/>
    <col min="1028" max="1028" width="9.140625" style="29"/>
    <col min="1029" max="1029" width="11.7109375" style="29" bestFit="1" customWidth="1"/>
    <col min="1030" max="1276" width="9.140625" style="29"/>
    <col min="1277" max="1277" width="44" style="29" customWidth="1"/>
    <col min="1278" max="1278" width="21.140625" style="29" customWidth="1"/>
    <col min="1279" max="1279" width="18.5703125" style="29" customWidth="1"/>
    <col min="1280" max="1280" width="20.140625" style="29" customWidth="1"/>
    <col min="1281" max="1281" width="16.28515625" style="29" customWidth="1"/>
    <col min="1282" max="1282" width="9.140625" style="29"/>
    <col min="1283" max="1283" width="14.140625" style="29" customWidth="1"/>
    <col min="1284" max="1284" width="9.140625" style="29"/>
    <col min="1285" max="1285" width="11.7109375" style="29" bestFit="1" customWidth="1"/>
    <col min="1286" max="1532" width="9.140625" style="29"/>
    <col min="1533" max="1533" width="44" style="29" customWidth="1"/>
    <col min="1534" max="1534" width="21.140625" style="29" customWidth="1"/>
    <col min="1535" max="1535" width="18.5703125" style="29" customWidth="1"/>
    <col min="1536" max="1536" width="20.140625" style="29" customWidth="1"/>
    <col min="1537" max="1537" width="16.28515625" style="29" customWidth="1"/>
    <col min="1538" max="1538" width="9.140625" style="29"/>
    <col min="1539" max="1539" width="14.140625" style="29" customWidth="1"/>
    <col min="1540" max="1540" width="9.140625" style="29"/>
    <col min="1541" max="1541" width="11.7109375" style="29" bestFit="1" customWidth="1"/>
    <col min="1542" max="1788" width="9.140625" style="29"/>
    <col min="1789" max="1789" width="44" style="29" customWidth="1"/>
    <col min="1790" max="1790" width="21.140625" style="29" customWidth="1"/>
    <col min="1791" max="1791" width="18.5703125" style="29" customWidth="1"/>
    <col min="1792" max="1792" width="20.140625" style="29" customWidth="1"/>
    <col min="1793" max="1793" width="16.28515625" style="29" customWidth="1"/>
    <col min="1794" max="1794" width="9.140625" style="29"/>
    <col min="1795" max="1795" width="14.140625" style="29" customWidth="1"/>
    <col min="1796" max="1796" width="9.140625" style="29"/>
    <col min="1797" max="1797" width="11.7109375" style="29" bestFit="1" customWidth="1"/>
    <col min="1798" max="2044" width="9.140625" style="29"/>
    <col min="2045" max="2045" width="44" style="29" customWidth="1"/>
    <col min="2046" max="2046" width="21.140625" style="29" customWidth="1"/>
    <col min="2047" max="2047" width="18.5703125" style="29" customWidth="1"/>
    <col min="2048" max="2048" width="20.140625" style="29" customWidth="1"/>
    <col min="2049" max="2049" width="16.28515625" style="29" customWidth="1"/>
    <col min="2050" max="2050" width="9.140625" style="29"/>
    <col min="2051" max="2051" width="14.140625" style="29" customWidth="1"/>
    <col min="2052" max="2052" width="9.140625" style="29"/>
    <col min="2053" max="2053" width="11.7109375" style="29" bestFit="1" customWidth="1"/>
    <col min="2054" max="2300" width="9.140625" style="29"/>
    <col min="2301" max="2301" width="44" style="29" customWidth="1"/>
    <col min="2302" max="2302" width="21.140625" style="29" customWidth="1"/>
    <col min="2303" max="2303" width="18.5703125" style="29" customWidth="1"/>
    <col min="2304" max="2304" width="20.140625" style="29" customWidth="1"/>
    <col min="2305" max="2305" width="16.28515625" style="29" customWidth="1"/>
    <col min="2306" max="2306" width="9.140625" style="29"/>
    <col min="2307" max="2307" width="14.140625" style="29" customWidth="1"/>
    <col min="2308" max="2308" width="9.140625" style="29"/>
    <col min="2309" max="2309" width="11.7109375" style="29" bestFit="1" customWidth="1"/>
    <col min="2310" max="2556" width="9.140625" style="29"/>
    <col min="2557" max="2557" width="44" style="29" customWidth="1"/>
    <col min="2558" max="2558" width="21.140625" style="29" customWidth="1"/>
    <col min="2559" max="2559" width="18.5703125" style="29" customWidth="1"/>
    <col min="2560" max="2560" width="20.140625" style="29" customWidth="1"/>
    <col min="2561" max="2561" width="16.28515625" style="29" customWidth="1"/>
    <col min="2562" max="2562" width="9.140625" style="29"/>
    <col min="2563" max="2563" width="14.140625" style="29" customWidth="1"/>
    <col min="2564" max="2564" width="9.140625" style="29"/>
    <col min="2565" max="2565" width="11.7109375" style="29" bestFit="1" customWidth="1"/>
    <col min="2566" max="2812" width="9.140625" style="29"/>
    <col min="2813" max="2813" width="44" style="29" customWidth="1"/>
    <col min="2814" max="2814" width="21.140625" style="29" customWidth="1"/>
    <col min="2815" max="2815" width="18.5703125" style="29" customWidth="1"/>
    <col min="2816" max="2816" width="20.140625" style="29" customWidth="1"/>
    <col min="2817" max="2817" width="16.28515625" style="29" customWidth="1"/>
    <col min="2818" max="2818" width="9.140625" style="29"/>
    <col min="2819" max="2819" width="14.140625" style="29" customWidth="1"/>
    <col min="2820" max="2820" width="9.140625" style="29"/>
    <col min="2821" max="2821" width="11.7109375" style="29" bestFit="1" customWidth="1"/>
    <col min="2822" max="3068" width="9.140625" style="29"/>
    <col min="3069" max="3069" width="44" style="29" customWidth="1"/>
    <col min="3070" max="3070" width="21.140625" style="29" customWidth="1"/>
    <col min="3071" max="3071" width="18.5703125" style="29" customWidth="1"/>
    <col min="3072" max="3072" width="20.140625" style="29" customWidth="1"/>
    <col min="3073" max="3073" width="16.28515625" style="29" customWidth="1"/>
    <col min="3074" max="3074" width="9.140625" style="29"/>
    <col min="3075" max="3075" width="14.140625" style="29" customWidth="1"/>
    <col min="3076" max="3076" width="9.140625" style="29"/>
    <col min="3077" max="3077" width="11.7109375" style="29" bestFit="1" customWidth="1"/>
    <col min="3078" max="3324" width="9.140625" style="29"/>
    <col min="3325" max="3325" width="44" style="29" customWidth="1"/>
    <col min="3326" max="3326" width="21.140625" style="29" customWidth="1"/>
    <col min="3327" max="3327" width="18.5703125" style="29" customWidth="1"/>
    <col min="3328" max="3328" width="20.140625" style="29" customWidth="1"/>
    <col min="3329" max="3329" width="16.28515625" style="29" customWidth="1"/>
    <col min="3330" max="3330" width="9.140625" style="29"/>
    <col min="3331" max="3331" width="14.140625" style="29" customWidth="1"/>
    <col min="3332" max="3332" width="9.140625" style="29"/>
    <col min="3333" max="3333" width="11.7109375" style="29" bestFit="1" customWidth="1"/>
    <col min="3334" max="3580" width="9.140625" style="29"/>
    <col min="3581" max="3581" width="44" style="29" customWidth="1"/>
    <col min="3582" max="3582" width="21.140625" style="29" customWidth="1"/>
    <col min="3583" max="3583" width="18.5703125" style="29" customWidth="1"/>
    <col min="3584" max="3584" width="20.140625" style="29" customWidth="1"/>
    <col min="3585" max="3585" width="16.28515625" style="29" customWidth="1"/>
    <col min="3586" max="3586" width="9.140625" style="29"/>
    <col min="3587" max="3587" width="14.140625" style="29" customWidth="1"/>
    <col min="3588" max="3588" width="9.140625" style="29"/>
    <col min="3589" max="3589" width="11.7109375" style="29" bestFit="1" customWidth="1"/>
    <col min="3590" max="3836" width="9.140625" style="29"/>
    <col min="3837" max="3837" width="44" style="29" customWidth="1"/>
    <col min="3838" max="3838" width="21.140625" style="29" customWidth="1"/>
    <col min="3839" max="3839" width="18.5703125" style="29" customWidth="1"/>
    <col min="3840" max="3840" width="20.140625" style="29" customWidth="1"/>
    <col min="3841" max="3841" width="16.28515625" style="29" customWidth="1"/>
    <col min="3842" max="3842" width="9.140625" style="29"/>
    <col min="3843" max="3843" width="14.140625" style="29" customWidth="1"/>
    <col min="3844" max="3844" width="9.140625" style="29"/>
    <col min="3845" max="3845" width="11.7109375" style="29" bestFit="1" customWidth="1"/>
    <col min="3846" max="4092" width="9.140625" style="29"/>
    <col min="4093" max="4093" width="44" style="29" customWidth="1"/>
    <col min="4094" max="4094" width="21.140625" style="29" customWidth="1"/>
    <col min="4095" max="4095" width="18.5703125" style="29" customWidth="1"/>
    <col min="4096" max="4096" width="20.140625" style="29" customWidth="1"/>
    <col min="4097" max="4097" width="16.28515625" style="29" customWidth="1"/>
    <col min="4098" max="4098" width="9.140625" style="29"/>
    <col min="4099" max="4099" width="14.140625" style="29" customWidth="1"/>
    <col min="4100" max="4100" width="9.140625" style="29"/>
    <col min="4101" max="4101" width="11.7109375" style="29" bestFit="1" customWidth="1"/>
    <col min="4102" max="4348" width="9.140625" style="29"/>
    <col min="4349" max="4349" width="44" style="29" customWidth="1"/>
    <col min="4350" max="4350" width="21.140625" style="29" customWidth="1"/>
    <col min="4351" max="4351" width="18.5703125" style="29" customWidth="1"/>
    <col min="4352" max="4352" width="20.140625" style="29" customWidth="1"/>
    <col min="4353" max="4353" width="16.28515625" style="29" customWidth="1"/>
    <col min="4354" max="4354" width="9.140625" style="29"/>
    <col min="4355" max="4355" width="14.140625" style="29" customWidth="1"/>
    <col min="4356" max="4356" width="9.140625" style="29"/>
    <col min="4357" max="4357" width="11.7109375" style="29" bestFit="1" customWidth="1"/>
    <col min="4358" max="4604" width="9.140625" style="29"/>
    <col min="4605" max="4605" width="44" style="29" customWidth="1"/>
    <col min="4606" max="4606" width="21.140625" style="29" customWidth="1"/>
    <col min="4607" max="4607" width="18.5703125" style="29" customWidth="1"/>
    <col min="4608" max="4608" width="20.140625" style="29" customWidth="1"/>
    <col min="4609" max="4609" width="16.28515625" style="29" customWidth="1"/>
    <col min="4610" max="4610" width="9.140625" style="29"/>
    <col min="4611" max="4611" width="14.140625" style="29" customWidth="1"/>
    <col min="4612" max="4612" width="9.140625" style="29"/>
    <col min="4613" max="4613" width="11.7109375" style="29" bestFit="1" customWidth="1"/>
    <col min="4614" max="4860" width="9.140625" style="29"/>
    <col min="4861" max="4861" width="44" style="29" customWidth="1"/>
    <col min="4862" max="4862" width="21.140625" style="29" customWidth="1"/>
    <col min="4863" max="4863" width="18.5703125" style="29" customWidth="1"/>
    <col min="4864" max="4864" width="20.140625" style="29" customWidth="1"/>
    <col min="4865" max="4865" width="16.28515625" style="29" customWidth="1"/>
    <col min="4866" max="4866" width="9.140625" style="29"/>
    <col min="4867" max="4867" width="14.140625" style="29" customWidth="1"/>
    <col min="4868" max="4868" width="9.140625" style="29"/>
    <col min="4869" max="4869" width="11.7109375" style="29" bestFit="1" customWidth="1"/>
    <col min="4870" max="5116" width="9.140625" style="29"/>
    <col min="5117" max="5117" width="44" style="29" customWidth="1"/>
    <col min="5118" max="5118" width="21.140625" style="29" customWidth="1"/>
    <col min="5119" max="5119" width="18.5703125" style="29" customWidth="1"/>
    <col min="5120" max="5120" width="20.140625" style="29" customWidth="1"/>
    <col min="5121" max="5121" width="16.28515625" style="29" customWidth="1"/>
    <col min="5122" max="5122" width="9.140625" style="29"/>
    <col min="5123" max="5123" width="14.140625" style="29" customWidth="1"/>
    <col min="5124" max="5124" width="9.140625" style="29"/>
    <col min="5125" max="5125" width="11.7109375" style="29" bestFit="1" customWidth="1"/>
    <col min="5126" max="5372" width="9.140625" style="29"/>
    <col min="5373" max="5373" width="44" style="29" customWidth="1"/>
    <col min="5374" max="5374" width="21.140625" style="29" customWidth="1"/>
    <col min="5375" max="5375" width="18.5703125" style="29" customWidth="1"/>
    <col min="5376" max="5376" width="20.140625" style="29" customWidth="1"/>
    <col min="5377" max="5377" width="16.28515625" style="29" customWidth="1"/>
    <col min="5378" max="5378" width="9.140625" style="29"/>
    <col min="5379" max="5379" width="14.140625" style="29" customWidth="1"/>
    <col min="5380" max="5380" width="9.140625" style="29"/>
    <col min="5381" max="5381" width="11.7109375" style="29" bestFit="1" customWidth="1"/>
    <col min="5382" max="5628" width="9.140625" style="29"/>
    <col min="5629" max="5629" width="44" style="29" customWidth="1"/>
    <col min="5630" max="5630" width="21.140625" style="29" customWidth="1"/>
    <col min="5631" max="5631" width="18.5703125" style="29" customWidth="1"/>
    <col min="5632" max="5632" width="20.140625" style="29" customWidth="1"/>
    <col min="5633" max="5633" width="16.28515625" style="29" customWidth="1"/>
    <col min="5634" max="5634" width="9.140625" style="29"/>
    <col min="5635" max="5635" width="14.140625" style="29" customWidth="1"/>
    <col min="5636" max="5636" width="9.140625" style="29"/>
    <col min="5637" max="5637" width="11.7109375" style="29" bestFit="1" customWidth="1"/>
    <col min="5638" max="5884" width="9.140625" style="29"/>
    <col min="5885" max="5885" width="44" style="29" customWidth="1"/>
    <col min="5886" max="5886" width="21.140625" style="29" customWidth="1"/>
    <col min="5887" max="5887" width="18.5703125" style="29" customWidth="1"/>
    <col min="5888" max="5888" width="20.140625" style="29" customWidth="1"/>
    <col min="5889" max="5889" width="16.28515625" style="29" customWidth="1"/>
    <col min="5890" max="5890" width="9.140625" style="29"/>
    <col min="5891" max="5891" width="14.140625" style="29" customWidth="1"/>
    <col min="5892" max="5892" width="9.140625" style="29"/>
    <col min="5893" max="5893" width="11.7109375" style="29" bestFit="1" customWidth="1"/>
    <col min="5894" max="6140" width="9.140625" style="29"/>
    <col min="6141" max="6141" width="44" style="29" customWidth="1"/>
    <col min="6142" max="6142" width="21.140625" style="29" customWidth="1"/>
    <col min="6143" max="6143" width="18.5703125" style="29" customWidth="1"/>
    <col min="6144" max="6144" width="20.140625" style="29" customWidth="1"/>
    <col min="6145" max="6145" width="16.28515625" style="29" customWidth="1"/>
    <col min="6146" max="6146" width="9.140625" style="29"/>
    <col min="6147" max="6147" width="14.140625" style="29" customWidth="1"/>
    <col min="6148" max="6148" width="9.140625" style="29"/>
    <col min="6149" max="6149" width="11.7109375" style="29" bestFit="1" customWidth="1"/>
    <col min="6150" max="6396" width="9.140625" style="29"/>
    <col min="6397" max="6397" width="44" style="29" customWidth="1"/>
    <col min="6398" max="6398" width="21.140625" style="29" customWidth="1"/>
    <col min="6399" max="6399" width="18.5703125" style="29" customWidth="1"/>
    <col min="6400" max="6400" width="20.140625" style="29" customWidth="1"/>
    <col min="6401" max="6401" width="16.28515625" style="29" customWidth="1"/>
    <col min="6402" max="6402" width="9.140625" style="29"/>
    <col min="6403" max="6403" width="14.140625" style="29" customWidth="1"/>
    <col min="6404" max="6404" width="9.140625" style="29"/>
    <col min="6405" max="6405" width="11.7109375" style="29" bestFit="1" customWidth="1"/>
    <col min="6406" max="6652" width="9.140625" style="29"/>
    <col min="6653" max="6653" width="44" style="29" customWidth="1"/>
    <col min="6654" max="6654" width="21.140625" style="29" customWidth="1"/>
    <col min="6655" max="6655" width="18.5703125" style="29" customWidth="1"/>
    <col min="6656" max="6656" width="20.140625" style="29" customWidth="1"/>
    <col min="6657" max="6657" width="16.28515625" style="29" customWidth="1"/>
    <col min="6658" max="6658" width="9.140625" style="29"/>
    <col min="6659" max="6659" width="14.140625" style="29" customWidth="1"/>
    <col min="6660" max="6660" width="9.140625" style="29"/>
    <col min="6661" max="6661" width="11.7109375" style="29" bestFit="1" customWidth="1"/>
    <col min="6662" max="6908" width="9.140625" style="29"/>
    <col min="6909" max="6909" width="44" style="29" customWidth="1"/>
    <col min="6910" max="6910" width="21.140625" style="29" customWidth="1"/>
    <col min="6911" max="6911" width="18.5703125" style="29" customWidth="1"/>
    <col min="6912" max="6912" width="20.140625" style="29" customWidth="1"/>
    <col min="6913" max="6913" width="16.28515625" style="29" customWidth="1"/>
    <col min="6914" max="6914" width="9.140625" style="29"/>
    <col min="6915" max="6915" width="14.140625" style="29" customWidth="1"/>
    <col min="6916" max="6916" width="9.140625" style="29"/>
    <col min="6917" max="6917" width="11.7109375" style="29" bestFit="1" customWidth="1"/>
    <col min="6918" max="7164" width="9.140625" style="29"/>
    <col min="7165" max="7165" width="44" style="29" customWidth="1"/>
    <col min="7166" max="7166" width="21.140625" style="29" customWidth="1"/>
    <col min="7167" max="7167" width="18.5703125" style="29" customWidth="1"/>
    <col min="7168" max="7168" width="20.140625" style="29" customWidth="1"/>
    <col min="7169" max="7169" width="16.28515625" style="29" customWidth="1"/>
    <col min="7170" max="7170" width="9.140625" style="29"/>
    <col min="7171" max="7171" width="14.140625" style="29" customWidth="1"/>
    <col min="7172" max="7172" width="9.140625" style="29"/>
    <col min="7173" max="7173" width="11.7109375" style="29" bestFit="1" customWidth="1"/>
    <col min="7174" max="7420" width="9.140625" style="29"/>
    <col min="7421" max="7421" width="44" style="29" customWidth="1"/>
    <col min="7422" max="7422" width="21.140625" style="29" customWidth="1"/>
    <col min="7423" max="7423" width="18.5703125" style="29" customWidth="1"/>
    <col min="7424" max="7424" width="20.140625" style="29" customWidth="1"/>
    <col min="7425" max="7425" width="16.28515625" style="29" customWidth="1"/>
    <col min="7426" max="7426" width="9.140625" style="29"/>
    <col min="7427" max="7427" width="14.140625" style="29" customWidth="1"/>
    <col min="7428" max="7428" width="9.140625" style="29"/>
    <col min="7429" max="7429" width="11.7109375" style="29" bestFit="1" customWidth="1"/>
    <col min="7430" max="7676" width="9.140625" style="29"/>
    <col min="7677" max="7677" width="44" style="29" customWidth="1"/>
    <col min="7678" max="7678" width="21.140625" style="29" customWidth="1"/>
    <col min="7679" max="7679" width="18.5703125" style="29" customWidth="1"/>
    <col min="7680" max="7680" width="20.140625" style="29" customWidth="1"/>
    <col min="7681" max="7681" width="16.28515625" style="29" customWidth="1"/>
    <col min="7682" max="7682" width="9.140625" style="29"/>
    <col min="7683" max="7683" width="14.140625" style="29" customWidth="1"/>
    <col min="7684" max="7684" width="9.140625" style="29"/>
    <col min="7685" max="7685" width="11.7109375" style="29" bestFit="1" customWidth="1"/>
    <col min="7686" max="7932" width="9.140625" style="29"/>
    <col min="7933" max="7933" width="44" style="29" customWidth="1"/>
    <col min="7934" max="7934" width="21.140625" style="29" customWidth="1"/>
    <col min="7935" max="7935" width="18.5703125" style="29" customWidth="1"/>
    <col min="7936" max="7936" width="20.140625" style="29" customWidth="1"/>
    <col min="7937" max="7937" width="16.28515625" style="29" customWidth="1"/>
    <col min="7938" max="7938" width="9.140625" style="29"/>
    <col min="7939" max="7939" width="14.140625" style="29" customWidth="1"/>
    <col min="7940" max="7940" width="9.140625" style="29"/>
    <col min="7941" max="7941" width="11.7109375" style="29" bestFit="1" customWidth="1"/>
    <col min="7942" max="8188" width="9.140625" style="29"/>
    <col min="8189" max="8189" width="44" style="29" customWidth="1"/>
    <col min="8190" max="8190" width="21.140625" style="29" customWidth="1"/>
    <col min="8191" max="8191" width="18.5703125" style="29" customWidth="1"/>
    <col min="8192" max="8192" width="20.140625" style="29" customWidth="1"/>
    <col min="8193" max="8193" width="16.28515625" style="29" customWidth="1"/>
    <col min="8194" max="8194" width="9.140625" style="29"/>
    <col min="8195" max="8195" width="14.140625" style="29" customWidth="1"/>
    <col min="8196" max="8196" width="9.140625" style="29"/>
    <col min="8197" max="8197" width="11.7109375" style="29" bestFit="1" customWidth="1"/>
    <col min="8198" max="8444" width="9.140625" style="29"/>
    <col min="8445" max="8445" width="44" style="29" customWidth="1"/>
    <col min="8446" max="8446" width="21.140625" style="29" customWidth="1"/>
    <col min="8447" max="8447" width="18.5703125" style="29" customWidth="1"/>
    <col min="8448" max="8448" width="20.140625" style="29" customWidth="1"/>
    <col min="8449" max="8449" width="16.28515625" style="29" customWidth="1"/>
    <col min="8450" max="8450" width="9.140625" style="29"/>
    <col min="8451" max="8451" width="14.140625" style="29" customWidth="1"/>
    <col min="8452" max="8452" width="9.140625" style="29"/>
    <col min="8453" max="8453" width="11.7109375" style="29" bestFit="1" customWidth="1"/>
    <col min="8454" max="8700" width="9.140625" style="29"/>
    <col min="8701" max="8701" width="44" style="29" customWidth="1"/>
    <col min="8702" max="8702" width="21.140625" style="29" customWidth="1"/>
    <col min="8703" max="8703" width="18.5703125" style="29" customWidth="1"/>
    <col min="8704" max="8704" width="20.140625" style="29" customWidth="1"/>
    <col min="8705" max="8705" width="16.28515625" style="29" customWidth="1"/>
    <col min="8706" max="8706" width="9.140625" style="29"/>
    <col min="8707" max="8707" width="14.140625" style="29" customWidth="1"/>
    <col min="8708" max="8708" width="9.140625" style="29"/>
    <col min="8709" max="8709" width="11.7109375" style="29" bestFit="1" customWidth="1"/>
    <col min="8710" max="8956" width="9.140625" style="29"/>
    <col min="8957" max="8957" width="44" style="29" customWidth="1"/>
    <col min="8958" max="8958" width="21.140625" style="29" customWidth="1"/>
    <col min="8959" max="8959" width="18.5703125" style="29" customWidth="1"/>
    <col min="8960" max="8960" width="20.140625" style="29" customWidth="1"/>
    <col min="8961" max="8961" width="16.28515625" style="29" customWidth="1"/>
    <col min="8962" max="8962" width="9.140625" style="29"/>
    <col min="8963" max="8963" width="14.140625" style="29" customWidth="1"/>
    <col min="8964" max="8964" width="9.140625" style="29"/>
    <col min="8965" max="8965" width="11.7109375" style="29" bestFit="1" customWidth="1"/>
    <col min="8966" max="9212" width="9.140625" style="29"/>
    <col min="9213" max="9213" width="44" style="29" customWidth="1"/>
    <col min="9214" max="9214" width="21.140625" style="29" customWidth="1"/>
    <col min="9215" max="9215" width="18.5703125" style="29" customWidth="1"/>
    <col min="9216" max="9216" width="20.140625" style="29" customWidth="1"/>
    <col min="9217" max="9217" width="16.28515625" style="29" customWidth="1"/>
    <col min="9218" max="9218" width="9.140625" style="29"/>
    <col min="9219" max="9219" width="14.140625" style="29" customWidth="1"/>
    <col min="9220" max="9220" width="9.140625" style="29"/>
    <col min="9221" max="9221" width="11.7109375" style="29" bestFit="1" customWidth="1"/>
    <col min="9222" max="9468" width="9.140625" style="29"/>
    <col min="9469" max="9469" width="44" style="29" customWidth="1"/>
    <col min="9470" max="9470" width="21.140625" style="29" customWidth="1"/>
    <col min="9471" max="9471" width="18.5703125" style="29" customWidth="1"/>
    <col min="9472" max="9472" width="20.140625" style="29" customWidth="1"/>
    <col min="9473" max="9473" width="16.28515625" style="29" customWidth="1"/>
    <col min="9474" max="9474" width="9.140625" style="29"/>
    <col min="9475" max="9475" width="14.140625" style="29" customWidth="1"/>
    <col min="9476" max="9476" width="9.140625" style="29"/>
    <col min="9477" max="9477" width="11.7109375" style="29" bestFit="1" customWidth="1"/>
    <col min="9478" max="9724" width="9.140625" style="29"/>
    <col min="9725" max="9725" width="44" style="29" customWidth="1"/>
    <col min="9726" max="9726" width="21.140625" style="29" customWidth="1"/>
    <col min="9727" max="9727" width="18.5703125" style="29" customWidth="1"/>
    <col min="9728" max="9728" width="20.140625" style="29" customWidth="1"/>
    <col min="9729" max="9729" width="16.28515625" style="29" customWidth="1"/>
    <col min="9730" max="9730" width="9.140625" style="29"/>
    <col min="9731" max="9731" width="14.140625" style="29" customWidth="1"/>
    <col min="9732" max="9732" width="9.140625" style="29"/>
    <col min="9733" max="9733" width="11.7109375" style="29" bestFit="1" customWidth="1"/>
    <col min="9734" max="9980" width="9.140625" style="29"/>
    <col min="9981" max="9981" width="44" style="29" customWidth="1"/>
    <col min="9982" max="9982" width="21.140625" style="29" customWidth="1"/>
    <col min="9983" max="9983" width="18.5703125" style="29" customWidth="1"/>
    <col min="9984" max="9984" width="20.140625" style="29" customWidth="1"/>
    <col min="9985" max="9985" width="16.28515625" style="29" customWidth="1"/>
    <col min="9986" max="9986" width="9.140625" style="29"/>
    <col min="9987" max="9987" width="14.140625" style="29" customWidth="1"/>
    <col min="9988" max="9988" width="9.140625" style="29"/>
    <col min="9989" max="9989" width="11.7109375" style="29" bestFit="1" customWidth="1"/>
    <col min="9990" max="10236" width="9.140625" style="29"/>
    <col min="10237" max="10237" width="44" style="29" customWidth="1"/>
    <col min="10238" max="10238" width="21.140625" style="29" customWidth="1"/>
    <col min="10239" max="10239" width="18.5703125" style="29" customWidth="1"/>
    <col min="10240" max="10240" width="20.140625" style="29" customWidth="1"/>
    <col min="10241" max="10241" width="16.28515625" style="29" customWidth="1"/>
    <col min="10242" max="10242" width="9.140625" style="29"/>
    <col min="10243" max="10243" width="14.140625" style="29" customWidth="1"/>
    <col min="10244" max="10244" width="9.140625" style="29"/>
    <col min="10245" max="10245" width="11.7109375" style="29" bestFit="1" customWidth="1"/>
    <col min="10246" max="10492" width="9.140625" style="29"/>
    <col min="10493" max="10493" width="44" style="29" customWidth="1"/>
    <col min="10494" max="10494" width="21.140625" style="29" customWidth="1"/>
    <col min="10495" max="10495" width="18.5703125" style="29" customWidth="1"/>
    <col min="10496" max="10496" width="20.140625" style="29" customWidth="1"/>
    <col min="10497" max="10497" width="16.28515625" style="29" customWidth="1"/>
    <col min="10498" max="10498" width="9.140625" style="29"/>
    <col min="10499" max="10499" width="14.140625" style="29" customWidth="1"/>
    <col min="10500" max="10500" width="9.140625" style="29"/>
    <col min="10501" max="10501" width="11.7109375" style="29" bestFit="1" customWidth="1"/>
    <col min="10502" max="10748" width="9.140625" style="29"/>
    <col min="10749" max="10749" width="44" style="29" customWidth="1"/>
    <col min="10750" max="10750" width="21.140625" style="29" customWidth="1"/>
    <col min="10751" max="10751" width="18.5703125" style="29" customWidth="1"/>
    <col min="10752" max="10752" width="20.140625" style="29" customWidth="1"/>
    <col min="10753" max="10753" width="16.28515625" style="29" customWidth="1"/>
    <col min="10754" max="10754" width="9.140625" style="29"/>
    <col min="10755" max="10755" width="14.140625" style="29" customWidth="1"/>
    <col min="10756" max="10756" width="9.140625" style="29"/>
    <col min="10757" max="10757" width="11.7109375" style="29" bestFit="1" customWidth="1"/>
    <col min="10758" max="11004" width="9.140625" style="29"/>
    <col min="11005" max="11005" width="44" style="29" customWidth="1"/>
    <col min="11006" max="11006" width="21.140625" style="29" customWidth="1"/>
    <col min="11007" max="11007" width="18.5703125" style="29" customWidth="1"/>
    <col min="11008" max="11008" width="20.140625" style="29" customWidth="1"/>
    <col min="11009" max="11009" width="16.28515625" style="29" customWidth="1"/>
    <col min="11010" max="11010" width="9.140625" style="29"/>
    <col min="11011" max="11011" width="14.140625" style="29" customWidth="1"/>
    <col min="11012" max="11012" width="9.140625" style="29"/>
    <col min="11013" max="11013" width="11.7109375" style="29" bestFit="1" customWidth="1"/>
    <col min="11014" max="11260" width="9.140625" style="29"/>
    <col min="11261" max="11261" width="44" style="29" customWidth="1"/>
    <col min="11262" max="11262" width="21.140625" style="29" customWidth="1"/>
    <col min="11263" max="11263" width="18.5703125" style="29" customWidth="1"/>
    <col min="11264" max="11264" width="20.140625" style="29" customWidth="1"/>
    <col min="11265" max="11265" width="16.28515625" style="29" customWidth="1"/>
    <col min="11266" max="11266" width="9.140625" style="29"/>
    <col min="11267" max="11267" width="14.140625" style="29" customWidth="1"/>
    <col min="11268" max="11268" width="9.140625" style="29"/>
    <col min="11269" max="11269" width="11.7109375" style="29" bestFit="1" customWidth="1"/>
    <col min="11270" max="11516" width="9.140625" style="29"/>
    <col min="11517" max="11517" width="44" style="29" customWidth="1"/>
    <col min="11518" max="11518" width="21.140625" style="29" customWidth="1"/>
    <col min="11519" max="11519" width="18.5703125" style="29" customWidth="1"/>
    <col min="11520" max="11520" width="20.140625" style="29" customWidth="1"/>
    <col min="11521" max="11521" width="16.28515625" style="29" customWidth="1"/>
    <col min="11522" max="11522" width="9.140625" style="29"/>
    <col min="11523" max="11523" width="14.140625" style="29" customWidth="1"/>
    <col min="11524" max="11524" width="9.140625" style="29"/>
    <col min="11525" max="11525" width="11.7109375" style="29" bestFit="1" customWidth="1"/>
    <col min="11526" max="11772" width="9.140625" style="29"/>
    <col min="11773" max="11773" width="44" style="29" customWidth="1"/>
    <col min="11774" max="11774" width="21.140625" style="29" customWidth="1"/>
    <col min="11775" max="11775" width="18.5703125" style="29" customWidth="1"/>
    <col min="11776" max="11776" width="20.140625" style="29" customWidth="1"/>
    <col min="11777" max="11777" width="16.28515625" style="29" customWidth="1"/>
    <col min="11778" max="11778" width="9.140625" style="29"/>
    <col min="11779" max="11779" width="14.140625" style="29" customWidth="1"/>
    <col min="11780" max="11780" width="9.140625" style="29"/>
    <col min="11781" max="11781" width="11.7109375" style="29" bestFit="1" customWidth="1"/>
    <col min="11782" max="12028" width="9.140625" style="29"/>
    <col min="12029" max="12029" width="44" style="29" customWidth="1"/>
    <col min="12030" max="12030" width="21.140625" style="29" customWidth="1"/>
    <col min="12031" max="12031" width="18.5703125" style="29" customWidth="1"/>
    <col min="12032" max="12032" width="20.140625" style="29" customWidth="1"/>
    <col min="12033" max="12033" width="16.28515625" style="29" customWidth="1"/>
    <col min="12034" max="12034" width="9.140625" style="29"/>
    <col min="12035" max="12035" width="14.140625" style="29" customWidth="1"/>
    <col min="12036" max="12036" width="9.140625" style="29"/>
    <col min="12037" max="12037" width="11.7109375" style="29" bestFit="1" customWidth="1"/>
    <col min="12038" max="12284" width="9.140625" style="29"/>
    <col min="12285" max="12285" width="44" style="29" customWidth="1"/>
    <col min="12286" max="12286" width="21.140625" style="29" customWidth="1"/>
    <col min="12287" max="12287" width="18.5703125" style="29" customWidth="1"/>
    <col min="12288" max="12288" width="20.140625" style="29" customWidth="1"/>
    <col min="12289" max="12289" width="16.28515625" style="29" customWidth="1"/>
    <col min="12290" max="12290" width="9.140625" style="29"/>
    <col min="12291" max="12291" width="14.140625" style="29" customWidth="1"/>
    <col min="12292" max="12292" width="9.140625" style="29"/>
    <col min="12293" max="12293" width="11.7109375" style="29" bestFit="1" customWidth="1"/>
    <col min="12294" max="12540" width="9.140625" style="29"/>
    <col min="12541" max="12541" width="44" style="29" customWidth="1"/>
    <col min="12542" max="12542" width="21.140625" style="29" customWidth="1"/>
    <col min="12543" max="12543" width="18.5703125" style="29" customWidth="1"/>
    <col min="12544" max="12544" width="20.140625" style="29" customWidth="1"/>
    <col min="12545" max="12545" width="16.28515625" style="29" customWidth="1"/>
    <col min="12546" max="12546" width="9.140625" style="29"/>
    <col min="12547" max="12547" width="14.140625" style="29" customWidth="1"/>
    <col min="12548" max="12548" width="9.140625" style="29"/>
    <col min="12549" max="12549" width="11.7109375" style="29" bestFit="1" customWidth="1"/>
    <col min="12550" max="12796" width="9.140625" style="29"/>
    <col min="12797" max="12797" width="44" style="29" customWidth="1"/>
    <col min="12798" max="12798" width="21.140625" style="29" customWidth="1"/>
    <col min="12799" max="12799" width="18.5703125" style="29" customWidth="1"/>
    <col min="12800" max="12800" width="20.140625" style="29" customWidth="1"/>
    <col min="12801" max="12801" width="16.28515625" style="29" customWidth="1"/>
    <col min="12802" max="12802" width="9.140625" style="29"/>
    <col min="12803" max="12803" width="14.140625" style="29" customWidth="1"/>
    <col min="12804" max="12804" width="9.140625" style="29"/>
    <col min="12805" max="12805" width="11.7109375" style="29" bestFit="1" customWidth="1"/>
    <col min="12806" max="13052" width="9.140625" style="29"/>
    <col min="13053" max="13053" width="44" style="29" customWidth="1"/>
    <col min="13054" max="13054" width="21.140625" style="29" customWidth="1"/>
    <col min="13055" max="13055" width="18.5703125" style="29" customWidth="1"/>
    <col min="13056" max="13056" width="20.140625" style="29" customWidth="1"/>
    <col min="13057" max="13057" width="16.28515625" style="29" customWidth="1"/>
    <col min="13058" max="13058" width="9.140625" style="29"/>
    <col min="13059" max="13059" width="14.140625" style="29" customWidth="1"/>
    <col min="13060" max="13060" width="9.140625" style="29"/>
    <col min="13061" max="13061" width="11.7109375" style="29" bestFit="1" customWidth="1"/>
    <col min="13062" max="13308" width="9.140625" style="29"/>
    <col min="13309" max="13309" width="44" style="29" customWidth="1"/>
    <col min="13310" max="13310" width="21.140625" style="29" customWidth="1"/>
    <col min="13311" max="13311" width="18.5703125" style="29" customWidth="1"/>
    <col min="13312" max="13312" width="20.140625" style="29" customWidth="1"/>
    <col min="13313" max="13313" width="16.28515625" style="29" customWidth="1"/>
    <col min="13314" max="13314" width="9.140625" style="29"/>
    <col min="13315" max="13315" width="14.140625" style="29" customWidth="1"/>
    <col min="13316" max="13316" width="9.140625" style="29"/>
    <col min="13317" max="13317" width="11.7109375" style="29" bestFit="1" customWidth="1"/>
    <col min="13318" max="13564" width="9.140625" style="29"/>
    <col min="13565" max="13565" width="44" style="29" customWidth="1"/>
    <col min="13566" max="13566" width="21.140625" style="29" customWidth="1"/>
    <col min="13567" max="13567" width="18.5703125" style="29" customWidth="1"/>
    <col min="13568" max="13568" width="20.140625" style="29" customWidth="1"/>
    <col min="13569" max="13569" width="16.28515625" style="29" customWidth="1"/>
    <col min="13570" max="13570" width="9.140625" style="29"/>
    <col min="13571" max="13571" width="14.140625" style="29" customWidth="1"/>
    <col min="13572" max="13572" width="9.140625" style="29"/>
    <col min="13573" max="13573" width="11.7109375" style="29" bestFit="1" customWidth="1"/>
    <col min="13574" max="13820" width="9.140625" style="29"/>
    <col min="13821" max="13821" width="44" style="29" customWidth="1"/>
    <col min="13822" max="13822" width="21.140625" style="29" customWidth="1"/>
    <col min="13823" max="13823" width="18.5703125" style="29" customWidth="1"/>
    <col min="13824" max="13824" width="20.140625" style="29" customWidth="1"/>
    <col min="13825" max="13825" width="16.28515625" style="29" customWidth="1"/>
    <col min="13826" max="13826" width="9.140625" style="29"/>
    <col min="13827" max="13827" width="14.140625" style="29" customWidth="1"/>
    <col min="13828" max="13828" width="9.140625" style="29"/>
    <col min="13829" max="13829" width="11.7109375" style="29" bestFit="1" customWidth="1"/>
    <col min="13830" max="14076" width="9.140625" style="29"/>
    <col min="14077" max="14077" width="44" style="29" customWidth="1"/>
    <col min="14078" max="14078" width="21.140625" style="29" customWidth="1"/>
    <col min="14079" max="14079" width="18.5703125" style="29" customWidth="1"/>
    <col min="14080" max="14080" width="20.140625" style="29" customWidth="1"/>
    <col min="14081" max="14081" width="16.28515625" style="29" customWidth="1"/>
    <col min="14082" max="14082" width="9.140625" style="29"/>
    <col min="14083" max="14083" width="14.140625" style="29" customWidth="1"/>
    <col min="14084" max="14084" width="9.140625" style="29"/>
    <col min="14085" max="14085" width="11.7109375" style="29" bestFit="1" customWidth="1"/>
    <col min="14086" max="14332" width="9.140625" style="29"/>
    <col min="14333" max="14333" width="44" style="29" customWidth="1"/>
    <col min="14334" max="14334" width="21.140625" style="29" customWidth="1"/>
    <col min="14335" max="14335" width="18.5703125" style="29" customWidth="1"/>
    <col min="14336" max="14336" width="20.140625" style="29" customWidth="1"/>
    <col min="14337" max="14337" width="16.28515625" style="29" customWidth="1"/>
    <col min="14338" max="14338" width="9.140625" style="29"/>
    <col min="14339" max="14339" width="14.140625" style="29" customWidth="1"/>
    <col min="14340" max="14340" width="9.140625" style="29"/>
    <col min="14341" max="14341" width="11.7109375" style="29" bestFit="1" customWidth="1"/>
    <col min="14342" max="14588" width="9.140625" style="29"/>
    <col min="14589" max="14589" width="44" style="29" customWidth="1"/>
    <col min="14590" max="14590" width="21.140625" style="29" customWidth="1"/>
    <col min="14591" max="14591" width="18.5703125" style="29" customWidth="1"/>
    <col min="14592" max="14592" width="20.140625" style="29" customWidth="1"/>
    <col min="14593" max="14593" width="16.28515625" style="29" customWidth="1"/>
    <col min="14594" max="14594" width="9.140625" style="29"/>
    <col min="14595" max="14595" width="14.140625" style="29" customWidth="1"/>
    <col min="14596" max="14596" width="9.140625" style="29"/>
    <col min="14597" max="14597" width="11.7109375" style="29" bestFit="1" customWidth="1"/>
    <col min="14598" max="14844" width="9.140625" style="29"/>
    <col min="14845" max="14845" width="44" style="29" customWidth="1"/>
    <col min="14846" max="14846" width="21.140625" style="29" customWidth="1"/>
    <col min="14847" max="14847" width="18.5703125" style="29" customWidth="1"/>
    <col min="14848" max="14848" width="20.140625" style="29" customWidth="1"/>
    <col min="14849" max="14849" width="16.28515625" style="29" customWidth="1"/>
    <col min="14850" max="14850" width="9.140625" style="29"/>
    <col min="14851" max="14851" width="14.140625" style="29" customWidth="1"/>
    <col min="14852" max="14852" width="9.140625" style="29"/>
    <col min="14853" max="14853" width="11.7109375" style="29" bestFit="1" customWidth="1"/>
    <col min="14854" max="15100" width="9.140625" style="29"/>
    <col min="15101" max="15101" width="44" style="29" customWidth="1"/>
    <col min="15102" max="15102" width="21.140625" style="29" customWidth="1"/>
    <col min="15103" max="15103" width="18.5703125" style="29" customWidth="1"/>
    <col min="15104" max="15104" width="20.140625" style="29" customWidth="1"/>
    <col min="15105" max="15105" width="16.28515625" style="29" customWidth="1"/>
    <col min="15106" max="15106" width="9.140625" style="29"/>
    <col min="15107" max="15107" width="14.140625" style="29" customWidth="1"/>
    <col min="15108" max="15108" width="9.140625" style="29"/>
    <col min="15109" max="15109" width="11.7109375" style="29" bestFit="1" customWidth="1"/>
    <col min="15110" max="15356" width="9.140625" style="29"/>
    <col min="15357" max="15357" width="44" style="29" customWidth="1"/>
    <col min="15358" max="15358" width="21.140625" style="29" customWidth="1"/>
    <col min="15359" max="15359" width="18.5703125" style="29" customWidth="1"/>
    <col min="15360" max="15360" width="20.140625" style="29" customWidth="1"/>
    <col min="15361" max="15361" width="16.28515625" style="29" customWidth="1"/>
    <col min="15362" max="15362" width="9.140625" style="29"/>
    <col min="15363" max="15363" width="14.140625" style="29" customWidth="1"/>
    <col min="15364" max="15364" width="9.140625" style="29"/>
    <col min="15365" max="15365" width="11.7109375" style="29" bestFit="1" customWidth="1"/>
    <col min="15366" max="15612" width="9.140625" style="29"/>
    <col min="15613" max="15613" width="44" style="29" customWidth="1"/>
    <col min="15614" max="15614" width="21.140625" style="29" customWidth="1"/>
    <col min="15615" max="15615" width="18.5703125" style="29" customWidth="1"/>
    <col min="15616" max="15616" width="20.140625" style="29" customWidth="1"/>
    <col min="15617" max="15617" width="16.28515625" style="29" customWidth="1"/>
    <col min="15618" max="15618" width="9.140625" style="29"/>
    <col min="15619" max="15619" width="14.140625" style="29" customWidth="1"/>
    <col min="15620" max="15620" width="9.140625" style="29"/>
    <col min="15621" max="15621" width="11.7109375" style="29" bestFit="1" customWidth="1"/>
    <col min="15622" max="15868" width="9.140625" style="29"/>
    <col min="15869" max="15869" width="44" style="29" customWidth="1"/>
    <col min="15870" max="15870" width="21.140625" style="29" customWidth="1"/>
    <col min="15871" max="15871" width="18.5703125" style="29" customWidth="1"/>
    <col min="15872" max="15872" width="20.140625" style="29" customWidth="1"/>
    <col min="15873" max="15873" width="16.28515625" style="29" customWidth="1"/>
    <col min="15874" max="15874" width="9.140625" style="29"/>
    <col min="15875" max="15875" width="14.140625" style="29" customWidth="1"/>
    <col min="15876" max="15876" width="9.140625" style="29"/>
    <col min="15877" max="15877" width="11.7109375" style="29" bestFit="1" customWidth="1"/>
    <col min="15878" max="16124" width="9.140625" style="29"/>
    <col min="16125" max="16125" width="44" style="29" customWidth="1"/>
    <col min="16126" max="16126" width="21.140625" style="29" customWidth="1"/>
    <col min="16127" max="16127" width="18.5703125" style="29" customWidth="1"/>
    <col min="16128" max="16128" width="20.140625" style="29" customWidth="1"/>
    <col min="16129" max="16129" width="16.28515625" style="29" customWidth="1"/>
    <col min="16130" max="16130" width="9.140625" style="29"/>
    <col min="16131" max="16131" width="14.140625" style="29" customWidth="1"/>
    <col min="16132" max="16132" width="9.140625" style="29"/>
    <col min="16133" max="16133" width="11.7109375" style="29" bestFit="1" customWidth="1"/>
    <col min="16134" max="16384" width="9.140625" style="29"/>
  </cols>
  <sheetData>
    <row r="1" spans="1:12" x14ac:dyDescent="0.25">
      <c r="A1" s="764" t="s">
        <v>94</v>
      </c>
      <c r="B1" s="764"/>
      <c r="C1" s="764"/>
      <c r="D1" s="764"/>
      <c r="E1" s="764"/>
    </row>
    <row r="3" spans="1:12" ht="38.25" x14ac:dyDescent="0.25">
      <c r="A3" s="31" t="s">
        <v>98</v>
      </c>
      <c r="B3" s="33" t="s">
        <v>90</v>
      </c>
      <c r="C3" s="33" t="s">
        <v>91</v>
      </c>
      <c r="D3" s="33" t="s">
        <v>92</v>
      </c>
      <c r="E3" s="33" t="s">
        <v>95</v>
      </c>
      <c r="F3" s="34"/>
      <c r="G3" s="34"/>
      <c r="H3" s="34"/>
      <c r="I3" s="34"/>
      <c r="J3" s="34"/>
      <c r="K3" s="34"/>
      <c r="L3" s="34"/>
    </row>
    <row r="4" spans="1:12" x14ac:dyDescent="0.25">
      <c r="A4" s="35"/>
      <c r="B4" s="33"/>
      <c r="C4" s="36">
        <f>A4*B4%</f>
        <v>0</v>
      </c>
      <c r="D4" s="37">
        <f>C4</f>
        <v>0</v>
      </c>
      <c r="E4" s="37">
        <f>D4</f>
        <v>0</v>
      </c>
      <c r="F4" s="34"/>
      <c r="G4" s="34"/>
      <c r="H4" s="34"/>
      <c r="I4" s="34"/>
      <c r="J4" s="34"/>
      <c r="K4" s="34"/>
      <c r="L4" s="34"/>
    </row>
    <row r="5" spans="1:12" x14ac:dyDescent="0.25">
      <c r="A5" s="38"/>
      <c r="B5" s="33"/>
      <c r="C5" s="36"/>
      <c r="D5" s="37"/>
      <c r="E5" s="37"/>
      <c r="F5" s="34"/>
      <c r="G5" s="34"/>
      <c r="H5" s="34"/>
      <c r="I5" s="34"/>
      <c r="J5" s="34"/>
      <c r="K5" s="34"/>
      <c r="L5" s="34"/>
    </row>
    <row r="6" spans="1:12" x14ac:dyDescent="0.25">
      <c r="A6" s="39" t="s">
        <v>93</v>
      </c>
      <c r="B6" s="33"/>
      <c r="C6" s="37">
        <f>SUM(C4:C5)</f>
        <v>0</v>
      </c>
      <c r="D6" s="37">
        <f t="shared" ref="D6:E6" si="0">SUM(D4:D5)</f>
        <v>0</v>
      </c>
      <c r="E6" s="37">
        <f t="shared" si="0"/>
        <v>0</v>
      </c>
      <c r="F6" s="34"/>
      <c r="G6" s="34"/>
      <c r="H6" s="34"/>
      <c r="I6" s="34"/>
      <c r="J6" s="34"/>
      <c r="K6" s="34"/>
      <c r="L6" s="34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21"/>
  <sheetViews>
    <sheetView workbookViewId="0">
      <selection activeCell="O6" sqref="O6:P6"/>
    </sheetView>
  </sheetViews>
  <sheetFormatPr defaultColWidth="9.140625" defaultRowHeight="15" x14ac:dyDescent="0.25"/>
  <cols>
    <col min="1" max="1" width="29.7109375" style="353" bestFit="1" customWidth="1"/>
    <col min="2" max="2" width="13.7109375" style="353" bestFit="1" customWidth="1"/>
    <col min="3" max="3" width="12.5703125" style="353" bestFit="1" customWidth="1"/>
    <col min="4" max="4" width="15.5703125" style="353" bestFit="1" customWidth="1"/>
    <col min="5" max="5" width="9.140625" style="353"/>
    <col min="6" max="6" width="11.5703125" style="353" bestFit="1" customWidth="1"/>
    <col min="7" max="7" width="21" style="353" bestFit="1" customWidth="1"/>
    <col min="8" max="9" width="0" style="353" hidden="1" customWidth="1"/>
    <col min="10" max="10" width="27.140625" style="353" bestFit="1" customWidth="1"/>
    <col min="11" max="11" width="6.140625" style="353" bestFit="1" customWidth="1"/>
    <col min="12" max="12" width="4" style="353" bestFit="1" customWidth="1"/>
    <col min="13" max="13" width="9.140625" style="353"/>
    <col min="14" max="14" width="6" style="353" bestFit="1" customWidth="1"/>
    <col min="15" max="15" width="7.42578125" style="353" customWidth="1"/>
    <col min="16" max="16" width="10.5703125" style="353" customWidth="1"/>
    <col min="17" max="16384" width="9.140625" style="353"/>
  </cols>
  <sheetData>
    <row r="1" spans="1:16" x14ac:dyDescent="0.25">
      <c r="A1" s="786" t="s">
        <v>787</v>
      </c>
      <c r="B1" s="786"/>
      <c r="C1" s="786"/>
      <c r="D1" s="786"/>
    </row>
    <row r="3" spans="1:16" ht="45" x14ac:dyDescent="0.25">
      <c r="A3" s="354"/>
      <c r="B3" s="390" t="s">
        <v>788</v>
      </c>
      <c r="C3" s="355" t="s">
        <v>789</v>
      </c>
      <c r="D3" s="355" t="s">
        <v>72</v>
      </c>
      <c r="F3" s="354"/>
      <c r="G3" s="397" t="s">
        <v>790</v>
      </c>
      <c r="H3" s="789" t="s">
        <v>791</v>
      </c>
      <c r="I3" s="790"/>
      <c r="J3" s="467" t="s">
        <v>792</v>
      </c>
      <c r="K3" s="467" t="s">
        <v>793</v>
      </c>
      <c r="L3" s="467" t="s">
        <v>794</v>
      </c>
      <c r="M3" s="460" t="s">
        <v>795</v>
      </c>
      <c r="N3" s="460" t="s">
        <v>40</v>
      </c>
      <c r="O3" s="787" t="s">
        <v>796</v>
      </c>
      <c r="P3" s="788"/>
    </row>
    <row r="4" spans="1:16" ht="15" customHeight="1" x14ac:dyDescent="0.25">
      <c r="A4" s="354" t="s">
        <v>744</v>
      </c>
      <c r="B4" s="354" t="s">
        <v>797</v>
      </c>
      <c r="C4" s="354" t="s">
        <v>798</v>
      </c>
      <c r="D4" s="356">
        <v>600000</v>
      </c>
      <c r="F4" s="767" t="s">
        <v>799</v>
      </c>
      <c r="G4" s="396" t="s">
        <v>800</v>
      </c>
      <c r="H4" s="765"/>
      <c r="I4" s="766"/>
      <c r="J4" s="354" t="s">
        <v>801</v>
      </c>
      <c r="K4" s="354" t="s">
        <v>802</v>
      </c>
      <c r="L4" s="397">
        <v>400</v>
      </c>
      <c r="M4" s="397">
        <v>70</v>
      </c>
      <c r="N4" s="397">
        <v>580</v>
      </c>
      <c r="O4" s="770">
        <f>M4*N4</f>
        <v>40600</v>
      </c>
      <c r="P4" s="771"/>
    </row>
    <row r="5" spans="1:16" x14ac:dyDescent="0.25">
      <c r="A5" s="354" t="s">
        <v>746</v>
      </c>
      <c r="B5" s="354"/>
      <c r="C5" s="354"/>
      <c r="D5" s="356">
        <v>0</v>
      </c>
      <c r="F5" s="768"/>
      <c r="G5" s="354" t="s">
        <v>803</v>
      </c>
      <c r="H5" s="765"/>
      <c r="I5" s="766"/>
      <c r="J5" s="354" t="s">
        <v>804</v>
      </c>
      <c r="K5" s="354" t="s">
        <v>802</v>
      </c>
      <c r="L5" s="397">
        <v>882</v>
      </c>
      <c r="M5" s="397">
        <v>160</v>
      </c>
      <c r="N5" s="397">
        <v>570</v>
      </c>
      <c r="O5" s="770">
        <f>M5*N5</f>
        <v>91200</v>
      </c>
      <c r="P5" s="771"/>
    </row>
    <row r="6" spans="1:16" x14ac:dyDescent="0.25">
      <c r="A6" s="398" t="s">
        <v>738</v>
      </c>
      <c r="B6" s="354" t="s">
        <v>797</v>
      </c>
      <c r="C6" s="354" t="s">
        <v>798</v>
      </c>
      <c r="D6" s="356">
        <f>O8</f>
        <v>1234000</v>
      </c>
      <c r="F6" s="768"/>
      <c r="G6" s="354" t="s">
        <v>805</v>
      </c>
      <c r="H6" s="765"/>
      <c r="I6" s="766"/>
      <c r="J6" s="354" t="s">
        <v>806</v>
      </c>
      <c r="K6" s="354" t="s">
        <v>165</v>
      </c>
      <c r="L6" s="397"/>
      <c r="M6" s="397">
        <v>25</v>
      </c>
      <c r="N6" s="397">
        <v>42000</v>
      </c>
      <c r="O6" s="770">
        <f t="shared" ref="O6:O7" si="0">M6*N6</f>
        <v>1050000</v>
      </c>
      <c r="P6" s="771"/>
    </row>
    <row r="7" spans="1:16" x14ac:dyDescent="0.25">
      <c r="A7" s="398" t="s">
        <v>738</v>
      </c>
      <c r="B7" s="354" t="s">
        <v>797</v>
      </c>
      <c r="C7" s="354" t="s">
        <v>798</v>
      </c>
      <c r="D7" s="356">
        <f>O14</f>
        <v>1282200</v>
      </c>
      <c r="F7" s="768"/>
      <c r="G7" s="354" t="s">
        <v>807</v>
      </c>
      <c r="H7" s="765"/>
      <c r="I7" s="766"/>
      <c r="J7" s="354" t="s">
        <v>808</v>
      </c>
      <c r="K7" s="354" t="s">
        <v>802</v>
      </c>
      <c r="L7" s="397">
        <v>500</v>
      </c>
      <c r="M7" s="397">
        <v>90</v>
      </c>
      <c r="N7" s="397">
        <v>580</v>
      </c>
      <c r="O7" s="770">
        <f t="shared" si="0"/>
        <v>52200</v>
      </c>
      <c r="P7" s="771"/>
    </row>
    <row r="8" spans="1:16" x14ac:dyDescent="0.25">
      <c r="A8" s="398" t="s">
        <v>738</v>
      </c>
      <c r="B8" s="354" t="s">
        <v>797</v>
      </c>
      <c r="C8" s="354" t="s">
        <v>798</v>
      </c>
      <c r="D8" s="356">
        <f>O21</f>
        <v>1336400</v>
      </c>
      <c r="F8" s="769"/>
      <c r="G8" s="781" t="s">
        <v>93</v>
      </c>
      <c r="H8" s="782"/>
      <c r="I8" s="782"/>
      <c r="J8" s="782"/>
      <c r="K8" s="782"/>
      <c r="L8" s="782"/>
      <c r="M8" s="782"/>
      <c r="N8" s="783"/>
      <c r="O8" s="779">
        <f>SUM(O4:O7)</f>
        <v>1234000</v>
      </c>
      <c r="P8" s="780"/>
    </row>
    <row r="9" spans="1:16" ht="15" customHeight="1" x14ac:dyDescent="0.25">
      <c r="A9" s="399"/>
      <c r="B9" s="368"/>
      <c r="C9" s="368"/>
      <c r="D9" s="400"/>
      <c r="F9" s="767" t="s">
        <v>809</v>
      </c>
      <c r="G9" s="396" t="s">
        <v>810</v>
      </c>
      <c r="H9" s="774"/>
      <c r="I9" s="775"/>
      <c r="J9" s="354" t="s">
        <v>801</v>
      </c>
      <c r="K9" s="354" t="s">
        <v>802</v>
      </c>
      <c r="L9" s="397">
        <v>80</v>
      </c>
      <c r="M9" s="397">
        <v>14</v>
      </c>
      <c r="N9" s="397">
        <v>580</v>
      </c>
      <c r="O9" s="770">
        <f>M9*N9</f>
        <v>8120</v>
      </c>
      <c r="P9" s="771"/>
    </row>
    <row r="10" spans="1:16" x14ac:dyDescent="0.25">
      <c r="A10" s="368"/>
      <c r="B10" s="368"/>
      <c r="C10" s="368"/>
      <c r="D10" s="400"/>
      <c r="F10" s="768"/>
      <c r="G10" s="354" t="s">
        <v>803</v>
      </c>
      <c r="H10" s="774"/>
      <c r="I10" s="775"/>
      <c r="J10" s="354" t="s">
        <v>801</v>
      </c>
      <c r="K10" s="354" t="s">
        <v>802</v>
      </c>
      <c r="L10" s="397">
        <v>468</v>
      </c>
      <c r="M10" s="397">
        <v>84</v>
      </c>
      <c r="N10" s="397">
        <v>570</v>
      </c>
      <c r="O10" s="770">
        <f>M10*N10</f>
        <v>47880</v>
      </c>
      <c r="P10" s="771"/>
    </row>
    <row r="11" spans="1:16" x14ac:dyDescent="0.25">
      <c r="A11" s="368"/>
      <c r="B11" s="368"/>
      <c r="C11" s="368"/>
      <c r="D11" s="400"/>
      <c r="F11" s="768"/>
      <c r="G11" s="354" t="s">
        <v>807</v>
      </c>
      <c r="H11" s="774"/>
      <c r="I11" s="775"/>
      <c r="J11" s="354" t="s">
        <v>808</v>
      </c>
      <c r="K11" s="354" t="s">
        <v>802</v>
      </c>
      <c r="L11" s="397">
        <v>500</v>
      </c>
      <c r="M11" s="397">
        <v>90</v>
      </c>
      <c r="N11" s="397">
        <v>580</v>
      </c>
      <c r="O11" s="770">
        <f t="shared" ref="O11:O20" si="1">M11*N11</f>
        <v>52200</v>
      </c>
      <c r="P11" s="771"/>
    </row>
    <row r="12" spans="1:16" x14ac:dyDescent="0.25">
      <c r="A12" s="368"/>
      <c r="B12" s="368"/>
      <c r="C12" s="368"/>
      <c r="D12" s="400"/>
      <c r="F12" s="768"/>
      <c r="G12" s="354" t="s">
        <v>805</v>
      </c>
      <c r="H12" s="774"/>
      <c r="I12" s="775"/>
      <c r="J12" s="354" t="s">
        <v>806</v>
      </c>
      <c r="K12" s="354" t="s">
        <v>165</v>
      </c>
      <c r="L12" s="397"/>
      <c r="M12" s="397">
        <v>22</v>
      </c>
      <c r="N12" s="397">
        <v>42000</v>
      </c>
      <c r="O12" s="770">
        <f t="shared" si="1"/>
        <v>924000</v>
      </c>
      <c r="P12" s="771"/>
    </row>
    <row r="13" spans="1:16" x14ac:dyDescent="0.25">
      <c r="A13" s="368"/>
      <c r="B13" s="368"/>
      <c r="C13" s="368"/>
      <c r="D13" s="400"/>
      <c r="F13" s="769"/>
      <c r="G13" s="396"/>
      <c r="H13" s="774"/>
      <c r="I13" s="775"/>
      <c r="J13" s="354" t="s">
        <v>806</v>
      </c>
      <c r="K13" s="354" t="s">
        <v>165</v>
      </c>
      <c r="L13" s="397"/>
      <c r="M13" s="401">
        <v>10</v>
      </c>
      <c r="N13" s="397">
        <v>25000</v>
      </c>
      <c r="O13" s="770">
        <f t="shared" si="1"/>
        <v>250000</v>
      </c>
      <c r="P13" s="771"/>
    </row>
    <row r="14" spans="1:16" x14ac:dyDescent="0.25">
      <c r="A14" s="368"/>
      <c r="B14" s="368"/>
      <c r="C14" s="368"/>
      <c r="D14" s="368"/>
      <c r="F14" s="460"/>
      <c r="G14" s="776" t="s">
        <v>93</v>
      </c>
      <c r="H14" s="777"/>
      <c r="I14" s="777"/>
      <c r="J14" s="777"/>
      <c r="K14" s="777"/>
      <c r="L14" s="777"/>
      <c r="M14" s="777"/>
      <c r="N14" s="778"/>
      <c r="O14" s="779">
        <f>SUM(O9:O13)</f>
        <v>1282200</v>
      </c>
      <c r="P14" s="780"/>
    </row>
    <row r="15" spans="1:16" ht="15" customHeight="1" x14ac:dyDescent="0.25">
      <c r="B15" s="368"/>
      <c r="F15" s="767" t="s">
        <v>811</v>
      </c>
      <c r="G15" s="396" t="s">
        <v>812</v>
      </c>
      <c r="H15" s="774"/>
      <c r="I15" s="775"/>
      <c r="J15" s="354" t="s">
        <v>801</v>
      </c>
      <c r="K15" s="354" t="s">
        <v>802</v>
      </c>
      <c r="L15" s="354">
        <v>882</v>
      </c>
      <c r="M15" s="354">
        <v>160</v>
      </c>
      <c r="N15" s="354">
        <v>500</v>
      </c>
      <c r="O15" s="770">
        <f t="shared" si="1"/>
        <v>80000</v>
      </c>
      <c r="P15" s="771"/>
    </row>
    <row r="16" spans="1:16" x14ac:dyDescent="0.25">
      <c r="B16" s="368"/>
      <c r="F16" s="768"/>
      <c r="G16" s="354" t="s">
        <v>803</v>
      </c>
      <c r="H16" s="774"/>
      <c r="I16" s="775"/>
      <c r="J16" s="354" t="s">
        <v>801</v>
      </c>
      <c r="K16" s="354" t="s">
        <v>802</v>
      </c>
      <c r="L16" s="354">
        <v>882</v>
      </c>
      <c r="M16" s="354">
        <v>160</v>
      </c>
      <c r="N16" s="354">
        <v>570</v>
      </c>
      <c r="O16" s="770">
        <f t="shared" si="1"/>
        <v>91200</v>
      </c>
      <c r="P16" s="771"/>
    </row>
    <row r="17" spans="6:16" x14ac:dyDescent="0.25">
      <c r="F17" s="768"/>
      <c r="G17" s="354" t="s">
        <v>807</v>
      </c>
      <c r="H17" s="772"/>
      <c r="I17" s="773"/>
      <c r="J17" s="354" t="s">
        <v>808</v>
      </c>
      <c r="K17" s="354" t="s">
        <v>802</v>
      </c>
      <c r="L17" s="354">
        <v>500</v>
      </c>
      <c r="M17" s="354">
        <v>90</v>
      </c>
      <c r="N17" s="354">
        <v>580</v>
      </c>
      <c r="O17" s="770">
        <f t="shared" si="1"/>
        <v>52200</v>
      </c>
      <c r="P17" s="771"/>
    </row>
    <row r="18" spans="6:16" x14ac:dyDescent="0.25">
      <c r="F18" s="768"/>
      <c r="G18" s="354" t="s">
        <v>813</v>
      </c>
      <c r="H18" s="772"/>
      <c r="I18" s="773"/>
      <c r="J18" s="354" t="s">
        <v>814</v>
      </c>
      <c r="K18" s="354" t="s">
        <v>815</v>
      </c>
      <c r="L18" s="354"/>
      <c r="M18" s="354">
        <v>24</v>
      </c>
      <c r="N18" s="354">
        <v>2000</v>
      </c>
      <c r="O18" s="770">
        <f t="shared" si="1"/>
        <v>48000</v>
      </c>
      <c r="P18" s="771"/>
    </row>
    <row r="19" spans="6:16" x14ac:dyDescent="0.25">
      <c r="F19" s="768"/>
      <c r="G19" s="354" t="s">
        <v>805</v>
      </c>
      <c r="H19" s="772"/>
      <c r="I19" s="773"/>
      <c r="J19" s="354" t="s">
        <v>806</v>
      </c>
      <c r="K19" s="354"/>
      <c r="L19" s="354"/>
      <c r="M19" s="354">
        <v>9</v>
      </c>
      <c r="N19" s="354">
        <v>25000</v>
      </c>
      <c r="O19" s="770">
        <f t="shared" si="1"/>
        <v>225000</v>
      </c>
      <c r="P19" s="771"/>
    </row>
    <row r="20" spans="6:16" x14ac:dyDescent="0.25">
      <c r="F20" s="769"/>
      <c r="G20" s="354" t="s">
        <v>805</v>
      </c>
      <c r="H20" s="772"/>
      <c r="I20" s="773"/>
      <c r="J20" s="354" t="s">
        <v>806</v>
      </c>
      <c r="K20" s="354" t="s">
        <v>165</v>
      </c>
      <c r="L20" s="354"/>
      <c r="M20" s="354">
        <v>24</v>
      </c>
      <c r="N20" s="354">
        <v>35000</v>
      </c>
      <c r="O20" s="770">
        <f t="shared" si="1"/>
        <v>840000</v>
      </c>
      <c r="P20" s="771"/>
    </row>
    <row r="21" spans="6:16" x14ac:dyDescent="0.25">
      <c r="F21" s="354"/>
      <c r="G21" s="781" t="s">
        <v>93</v>
      </c>
      <c r="H21" s="782"/>
      <c r="I21" s="782"/>
      <c r="J21" s="782"/>
      <c r="K21" s="782"/>
      <c r="L21" s="782"/>
      <c r="M21" s="782"/>
      <c r="N21" s="783"/>
      <c r="O21" s="784">
        <f>SUM(O15:O20)</f>
        <v>1336400</v>
      </c>
      <c r="P21" s="785"/>
    </row>
  </sheetData>
  <mergeCells count="42">
    <mergeCell ref="A1:D1"/>
    <mergeCell ref="F9:F13"/>
    <mergeCell ref="H9:I9"/>
    <mergeCell ref="O9:P9"/>
    <mergeCell ref="H10:I10"/>
    <mergeCell ref="O10:P10"/>
    <mergeCell ref="H11:I11"/>
    <mergeCell ref="O3:P3"/>
    <mergeCell ref="H3:I3"/>
    <mergeCell ref="H7:I7"/>
    <mergeCell ref="O7:P7"/>
    <mergeCell ref="G8:N8"/>
    <mergeCell ref="O8:P8"/>
    <mergeCell ref="O5:P5"/>
    <mergeCell ref="H5:I5"/>
    <mergeCell ref="O4:P4"/>
    <mergeCell ref="G21:N21"/>
    <mergeCell ref="O21:P21"/>
    <mergeCell ref="O6:P6"/>
    <mergeCell ref="H6:I6"/>
    <mergeCell ref="F15:F20"/>
    <mergeCell ref="H15:I15"/>
    <mergeCell ref="O15:P15"/>
    <mergeCell ref="H16:I16"/>
    <mergeCell ref="O16:P16"/>
    <mergeCell ref="H17:I17"/>
    <mergeCell ref="O17:P17"/>
    <mergeCell ref="H18:I18"/>
    <mergeCell ref="O18:P18"/>
    <mergeCell ref="H19:I19"/>
    <mergeCell ref="O11:P11"/>
    <mergeCell ref="H12:I12"/>
    <mergeCell ref="H4:I4"/>
    <mergeCell ref="F4:F8"/>
    <mergeCell ref="O19:P19"/>
    <mergeCell ref="H20:I20"/>
    <mergeCell ref="O20:P20"/>
    <mergeCell ref="O12:P12"/>
    <mergeCell ref="H13:I13"/>
    <mergeCell ref="O13:P13"/>
    <mergeCell ref="G14:N14"/>
    <mergeCell ref="O14:P14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DE176"/>
  <sheetViews>
    <sheetView view="pageBreakPreview" topLeftCell="A19" zoomScaleNormal="100" zoomScaleSheetLayoutView="100" workbookViewId="0">
      <selection activeCell="CJ38" sqref="CJ38:DA38"/>
    </sheetView>
  </sheetViews>
  <sheetFormatPr defaultColWidth="0.85546875" defaultRowHeight="12" customHeight="1" x14ac:dyDescent="0.25"/>
  <cols>
    <col min="1" max="105" width="0.85546875" style="314"/>
    <col min="106" max="106" width="5.28515625" style="314" bestFit="1" customWidth="1"/>
    <col min="107" max="108" width="0.85546875" style="314"/>
    <col min="109" max="109" width="12.28515625" style="202" customWidth="1"/>
    <col min="110" max="361" width="0.85546875" style="314"/>
    <col min="362" max="362" width="5.28515625" style="314" bestFit="1" customWidth="1"/>
    <col min="363" max="364" width="0.85546875" style="314"/>
    <col min="365" max="365" width="12.28515625" style="314" customWidth="1"/>
    <col min="366" max="617" width="0.85546875" style="314"/>
    <col min="618" max="618" width="5.28515625" style="314" bestFit="1" customWidth="1"/>
    <col min="619" max="620" width="0.85546875" style="314"/>
    <col min="621" max="621" width="12.28515625" style="314" customWidth="1"/>
    <col min="622" max="873" width="0.85546875" style="314"/>
    <col min="874" max="874" width="5.28515625" style="314" bestFit="1" customWidth="1"/>
    <col min="875" max="876" width="0.85546875" style="314"/>
    <col min="877" max="877" width="12.28515625" style="314" customWidth="1"/>
    <col min="878" max="1129" width="0.85546875" style="314"/>
    <col min="1130" max="1130" width="5.28515625" style="314" bestFit="1" customWidth="1"/>
    <col min="1131" max="1132" width="0.85546875" style="314"/>
    <col min="1133" max="1133" width="12.28515625" style="314" customWidth="1"/>
    <col min="1134" max="1385" width="0.85546875" style="314"/>
    <col min="1386" max="1386" width="5.28515625" style="314" bestFit="1" customWidth="1"/>
    <col min="1387" max="1388" width="0.85546875" style="314"/>
    <col min="1389" max="1389" width="12.28515625" style="314" customWidth="1"/>
    <col min="1390" max="1641" width="0.85546875" style="314"/>
    <col min="1642" max="1642" width="5.28515625" style="314" bestFit="1" customWidth="1"/>
    <col min="1643" max="1644" width="0.85546875" style="314"/>
    <col min="1645" max="1645" width="12.28515625" style="314" customWidth="1"/>
    <col min="1646" max="1897" width="0.85546875" style="314"/>
    <col min="1898" max="1898" width="5.28515625" style="314" bestFit="1" customWidth="1"/>
    <col min="1899" max="1900" width="0.85546875" style="314"/>
    <col min="1901" max="1901" width="12.28515625" style="314" customWidth="1"/>
    <col min="1902" max="2153" width="0.85546875" style="314"/>
    <col min="2154" max="2154" width="5.28515625" style="314" bestFit="1" customWidth="1"/>
    <col min="2155" max="2156" width="0.85546875" style="314"/>
    <col min="2157" max="2157" width="12.28515625" style="314" customWidth="1"/>
    <col min="2158" max="2409" width="0.85546875" style="314"/>
    <col min="2410" max="2410" width="5.28515625" style="314" bestFit="1" customWidth="1"/>
    <col min="2411" max="2412" width="0.85546875" style="314"/>
    <col min="2413" max="2413" width="12.28515625" style="314" customWidth="1"/>
    <col min="2414" max="2665" width="0.85546875" style="314"/>
    <col min="2666" max="2666" width="5.28515625" style="314" bestFit="1" customWidth="1"/>
    <col min="2667" max="2668" width="0.85546875" style="314"/>
    <col min="2669" max="2669" width="12.28515625" style="314" customWidth="1"/>
    <col min="2670" max="2921" width="0.85546875" style="314"/>
    <col min="2922" max="2922" width="5.28515625" style="314" bestFit="1" customWidth="1"/>
    <col min="2923" max="2924" width="0.85546875" style="314"/>
    <col min="2925" max="2925" width="12.28515625" style="314" customWidth="1"/>
    <col min="2926" max="3177" width="0.85546875" style="314"/>
    <col min="3178" max="3178" width="5.28515625" style="314" bestFit="1" customWidth="1"/>
    <col min="3179" max="3180" width="0.85546875" style="314"/>
    <col min="3181" max="3181" width="12.28515625" style="314" customWidth="1"/>
    <col min="3182" max="3433" width="0.85546875" style="314"/>
    <col min="3434" max="3434" width="5.28515625" style="314" bestFit="1" customWidth="1"/>
    <col min="3435" max="3436" width="0.85546875" style="314"/>
    <col min="3437" max="3437" width="12.28515625" style="314" customWidth="1"/>
    <col min="3438" max="3689" width="0.85546875" style="314"/>
    <col min="3690" max="3690" width="5.28515625" style="314" bestFit="1" customWidth="1"/>
    <col min="3691" max="3692" width="0.85546875" style="314"/>
    <col min="3693" max="3693" width="12.28515625" style="314" customWidth="1"/>
    <col min="3694" max="3945" width="0.85546875" style="314"/>
    <col min="3946" max="3946" width="5.28515625" style="314" bestFit="1" customWidth="1"/>
    <col min="3947" max="3948" width="0.85546875" style="314"/>
    <col min="3949" max="3949" width="12.28515625" style="314" customWidth="1"/>
    <col min="3950" max="4201" width="0.85546875" style="314"/>
    <col min="4202" max="4202" width="5.28515625" style="314" bestFit="1" customWidth="1"/>
    <col min="4203" max="4204" width="0.85546875" style="314"/>
    <col min="4205" max="4205" width="12.28515625" style="314" customWidth="1"/>
    <col min="4206" max="4457" width="0.85546875" style="314"/>
    <col min="4458" max="4458" width="5.28515625" style="314" bestFit="1" customWidth="1"/>
    <col min="4459" max="4460" width="0.85546875" style="314"/>
    <col min="4461" max="4461" width="12.28515625" style="314" customWidth="1"/>
    <col min="4462" max="4713" width="0.85546875" style="314"/>
    <col min="4714" max="4714" width="5.28515625" style="314" bestFit="1" customWidth="1"/>
    <col min="4715" max="4716" width="0.85546875" style="314"/>
    <col min="4717" max="4717" width="12.28515625" style="314" customWidth="1"/>
    <col min="4718" max="4969" width="0.85546875" style="314"/>
    <col min="4970" max="4970" width="5.28515625" style="314" bestFit="1" customWidth="1"/>
    <col min="4971" max="4972" width="0.85546875" style="314"/>
    <col min="4973" max="4973" width="12.28515625" style="314" customWidth="1"/>
    <col min="4974" max="5225" width="0.85546875" style="314"/>
    <col min="5226" max="5226" width="5.28515625" style="314" bestFit="1" customWidth="1"/>
    <col min="5227" max="5228" width="0.85546875" style="314"/>
    <col min="5229" max="5229" width="12.28515625" style="314" customWidth="1"/>
    <col min="5230" max="5481" width="0.85546875" style="314"/>
    <col min="5482" max="5482" width="5.28515625" style="314" bestFit="1" customWidth="1"/>
    <col min="5483" max="5484" width="0.85546875" style="314"/>
    <col min="5485" max="5485" width="12.28515625" style="314" customWidth="1"/>
    <col min="5486" max="5737" width="0.85546875" style="314"/>
    <col min="5738" max="5738" width="5.28515625" style="314" bestFit="1" customWidth="1"/>
    <col min="5739" max="5740" width="0.85546875" style="314"/>
    <col min="5741" max="5741" width="12.28515625" style="314" customWidth="1"/>
    <col min="5742" max="5993" width="0.85546875" style="314"/>
    <col min="5994" max="5994" width="5.28515625" style="314" bestFit="1" customWidth="1"/>
    <col min="5995" max="5996" width="0.85546875" style="314"/>
    <col min="5997" max="5997" width="12.28515625" style="314" customWidth="1"/>
    <col min="5998" max="6249" width="0.85546875" style="314"/>
    <col min="6250" max="6250" width="5.28515625" style="314" bestFit="1" customWidth="1"/>
    <col min="6251" max="6252" width="0.85546875" style="314"/>
    <col min="6253" max="6253" width="12.28515625" style="314" customWidth="1"/>
    <col min="6254" max="6505" width="0.85546875" style="314"/>
    <col min="6506" max="6506" width="5.28515625" style="314" bestFit="1" customWidth="1"/>
    <col min="6507" max="6508" width="0.85546875" style="314"/>
    <col min="6509" max="6509" width="12.28515625" style="314" customWidth="1"/>
    <col min="6510" max="6761" width="0.85546875" style="314"/>
    <col min="6762" max="6762" width="5.28515625" style="314" bestFit="1" customWidth="1"/>
    <col min="6763" max="6764" width="0.85546875" style="314"/>
    <col min="6765" max="6765" width="12.28515625" style="314" customWidth="1"/>
    <col min="6766" max="7017" width="0.85546875" style="314"/>
    <col min="7018" max="7018" width="5.28515625" style="314" bestFit="1" customWidth="1"/>
    <col min="7019" max="7020" width="0.85546875" style="314"/>
    <col min="7021" max="7021" width="12.28515625" style="314" customWidth="1"/>
    <col min="7022" max="7273" width="0.85546875" style="314"/>
    <col min="7274" max="7274" width="5.28515625" style="314" bestFit="1" customWidth="1"/>
    <col min="7275" max="7276" width="0.85546875" style="314"/>
    <col min="7277" max="7277" width="12.28515625" style="314" customWidth="1"/>
    <col min="7278" max="7529" width="0.85546875" style="314"/>
    <col min="7530" max="7530" width="5.28515625" style="314" bestFit="1" customWidth="1"/>
    <col min="7531" max="7532" width="0.85546875" style="314"/>
    <col min="7533" max="7533" width="12.28515625" style="314" customWidth="1"/>
    <col min="7534" max="7785" width="0.85546875" style="314"/>
    <col min="7786" max="7786" width="5.28515625" style="314" bestFit="1" customWidth="1"/>
    <col min="7787" max="7788" width="0.85546875" style="314"/>
    <col min="7789" max="7789" width="12.28515625" style="314" customWidth="1"/>
    <col min="7790" max="8041" width="0.85546875" style="314"/>
    <col min="8042" max="8042" width="5.28515625" style="314" bestFit="1" customWidth="1"/>
    <col min="8043" max="8044" width="0.85546875" style="314"/>
    <col min="8045" max="8045" width="12.28515625" style="314" customWidth="1"/>
    <col min="8046" max="8297" width="0.85546875" style="314"/>
    <col min="8298" max="8298" width="5.28515625" style="314" bestFit="1" customWidth="1"/>
    <col min="8299" max="8300" width="0.85546875" style="314"/>
    <col min="8301" max="8301" width="12.28515625" style="314" customWidth="1"/>
    <col min="8302" max="8553" width="0.85546875" style="314"/>
    <col min="8554" max="8554" width="5.28515625" style="314" bestFit="1" customWidth="1"/>
    <col min="8555" max="8556" width="0.85546875" style="314"/>
    <col min="8557" max="8557" width="12.28515625" style="314" customWidth="1"/>
    <col min="8558" max="8809" width="0.85546875" style="314"/>
    <col min="8810" max="8810" width="5.28515625" style="314" bestFit="1" customWidth="1"/>
    <col min="8811" max="8812" width="0.85546875" style="314"/>
    <col min="8813" max="8813" width="12.28515625" style="314" customWidth="1"/>
    <col min="8814" max="9065" width="0.85546875" style="314"/>
    <col min="9066" max="9066" width="5.28515625" style="314" bestFit="1" customWidth="1"/>
    <col min="9067" max="9068" width="0.85546875" style="314"/>
    <col min="9069" max="9069" width="12.28515625" style="314" customWidth="1"/>
    <col min="9070" max="9321" width="0.85546875" style="314"/>
    <col min="9322" max="9322" width="5.28515625" style="314" bestFit="1" customWidth="1"/>
    <col min="9323" max="9324" width="0.85546875" style="314"/>
    <col min="9325" max="9325" width="12.28515625" style="314" customWidth="1"/>
    <col min="9326" max="9577" width="0.85546875" style="314"/>
    <col min="9578" max="9578" width="5.28515625" style="314" bestFit="1" customWidth="1"/>
    <col min="9579" max="9580" width="0.85546875" style="314"/>
    <col min="9581" max="9581" width="12.28515625" style="314" customWidth="1"/>
    <col min="9582" max="9833" width="0.85546875" style="314"/>
    <col min="9834" max="9834" width="5.28515625" style="314" bestFit="1" customWidth="1"/>
    <col min="9835" max="9836" width="0.85546875" style="314"/>
    <col min="9837" max="9837" width="12.28515625" style="314" customWidth="1"/>
    <col min="9838" max="10089" width="0.85546875" style="314"/>
    <col min="10090" max="10090" width="5.28515625" style="314" bestFit="1" customWidth="1"/>
    <col min="10091" max="10092" width="0.85546875" style="314"/>
    <col min="10093" max="10093" width="12.28515625" style="314" customWidth="1"/>
    <col min="10094" max="10345" width="0.85546875" style="314"/>
    <col min="10346" max="10346" width="5.28515625" style="314" bestFit="1" customWidth="1"/>
    <col min="10347" max="10348" width="0.85546875" style="314"/>
    <col min="10349" max="10349" width="12.28515625" style="314" customWidth="1"/>
    <col min="10350" max="10601" width="0.85546875" style="314"/>
    <col min="10602" max="10602" width="5.28515625" style="314" bestFit="1" customWidth="1"/>
    <col min="10603" max="10604" width="0.85546875" style="314"/>
    <col min="10605" max="10605" width="12.28515625" style="314" customWidth="1"/>
    <col min="10606" max="10857" width="0.85546875" style="314"/>
    <col min="10858" max="10858" width="5.28515625" style="314" bestFit="1" customWidth="1"/>
    <col min="10859" max="10860" width="0.85546875" style="314"/>
    <col min="10861" max="10861" width="12.28515625" style="314" customWidth="1"/>
    <col min="10862" max="11113" width="0.85546875" style="314"/>
    <col min="11114" max="11114" width="5.28515625" style="314" bestFit="1" customWidth="1"/>
    <col min="11115" max="11116" width="0.85546875" style="314"/>
    <col min="11117" max="11117" width="12.28515625" style="314" customWidth="1"/>
    <col min="11118" max="11369" width="0.85546875" style="314"/>
    <col min="11370" max="11370" width="5.28515625" style="314" bestFit="1" customWidth="1"/>
    <col min="11371" max="11372" width="0.85546875" style="314"/>
    <col min="11373" max="11373" width="12.28515625" style="314" customWidth="1"/>
    <col min="11374" max="11625" width="0.85546875" style="314"/>
    <col min="11626" max="11626" width="5.28515625" style="314" bestFit="1" customWidth="1"/>
    <col min="11627" max="11628" width="0.85546875" style="314"/>
    <col min="11629" max="11629" width="12.28515625" style="314" customWidth="1"/>
    <col min="11630" max="11881" width="0.85546875" style="314"/>
    <col min="11882" max="11882" width="5.28515625" style="314" bestFit="1" customWidth="1"/>
    <col min="11883" max="11884" width="0.85546875" style="314"/>
    <col min="11885" max="11885" width="12.28515625" style="314" customWidth="1"/>
    <col min="11886" max="12137" width="0.85546875" style="314"/>
    <col min="12138" max="12138" width="5.28515625" style="314" bestFit="1" customWidth="1"/>
    <col min="12139" max="12140" width="0.85546875" style="314"/>
    <col min="12141" max="12141" width="12.28515625" style="314" customWidth="1"/>
    <col min="12142" max="12393" width="0.85546875" style="314"/>
    <col min="12394" max="12394" width="5.28515625" style="314" bestFit="1" customWidth="1"/>
    <col min="12395" max="12396" width="0.85546875" style="314"/>
    <col min="12397" max="12397" width="12.28515625" style="314" customWidth="1"/>
    <col min="12398" max="12649" width="0.85546875" style="314"/>
    <col min="12650" max="12650" width="5.28515625" style="314" bestFit="1" customWidth="1"/>
    <col min="12651" max="12652" width="0.85546875" style="314"/>
    <col min="12653" max="12653" width="12.28515625" style="314" customWidth="1"/>
    <col min="12654" max="12905" width="0.85546875" style="314"/>
    <col min="12906" max="12906" width="5.28515625" style="314" bestFit="1" customWidth="1"/>
    <col min="12907" max="12908" width="0.85546875" style="314"/>
    <col min="12909" max="12909" width="12.28515625" style="314" customWidth="1"/>
    <col min="12910" max="13161" width="0.85546875" style="314"/>
    <col min="13162" max="13162" width="5.28515625" style="314" bestFit="1" customWidth="1"/>
    <col min="13163" max="13164" width="0.85546875" style="314"/>
    <col min="13165" max="13165" width="12.28515625" style="314" customWidth="1"/>
    <col min="13166" max="13417" width="0.85546875" style="314"/>
    <col min="13418" max="13418" width="5.28515625" style="314" bestFit="1" customWidth="1"/>
    <col min="13419" max="13420" width="0.85546875" style="314"/>
    <col min="13421" max="13421" width="12.28515625" style="314" customWidth="1"/>
    <col min="13422" max="13673" width="0.85546875" style="314"/>
    <col min="13674" max="13674" width="5.28515625" style="314" bestFit="1" customWidth="1"/>
    <col min="13675" max="13676" width="0.85546875" style="314"/>
    <col min="13677" max="13677" width="12.28515625" style="314" customWidth="1"/>
    <col min="13678" max="13929" width="0.85546875" style="314"/>
    <col min="13930" max="13930" width="5.28515625" style="314" bestFit="1" customWidth="1"/>
    <col min="13931" max="13932" width="0.85546875" style="314"/>
    <col min="13933" max="13933" width="12.28515625" style="314" customWidth="1"/>
    <col min="13934" max="14185" width="0.85546875" style="314"/>
    <col min="14186" max="14186" width="5.28515625" style="314" bestFit="1" customWidth="1"/>
    <col min="14187" max="14188" width="0.85546875" style="314"/>
    <col min="14189" max="14189" width="12.28515625" style="314" customWidth="1"/>
    <col min="14190" max="14441" width="0.85546875" style="314"/>
    <col min="14442" max="14442" width="5.28515625" style="314" bestFit="1" customWidth="1"/>
    <col min="14443" max="14444" width="0.85546875" style="314"/>
    <col min="14445" max="14445" width="12.28515625" style="314" customWidth="1"/>
    <col min="14446" max="14697" width="0.85546875" style="314"/>
    <col min="14698" max="14698" width="5.28515625" style="314" bestFit="1" customWidth="1"/>
    <col min="14699" max="14700" width="0.85546875" style="314"/>
    <col min="14701" max="14701" width="12.28515625" style="314" customWidth="1"/>
    <col min="14702" max="14953" width="0.85546875" style="314"/>
    <col min="14954" max="14954" width="5.28515625" style="314" bestFit="1" customWidth="1"/>
    <col min="14955" max="14956" width="0.85546875" style="314"/>
    <col min="14957" max="14957" width="12.28515625" style="314" customWidth="1"/>
    <col min="14958" max="15209" width="0.85546875" style="314"/>
    <col min="15210" max="15210" width="5.28515625" style="314" bestFit="1" customWidth="1"/>
    <col min="15211" max="15212" width="0.85546875" style="314"/>
    <col min="15213" max="15213" width="12.28515625" style="314" customWidth="1"/>
    <col min="15214" max="15465" width="0.85546875" style="314"/>
    <col min="15466" max="15466" width="5.28515625" style="314" bestFit="1" customWidth="1"/>
    <col min="15467" max="15468" width="0.85546875" style="314"/>
    <col min="15469" max="15469" width="12.28515625" style="314" customWidth="1"/>
    <col min="15470" max="15721" width="0.85546875" style="314"/>
    <col min="15722" max="15722" width="5.28515625" style="314" bestFit="1" customWidth="1"/>
    <col min="15723" max="15724" width="0.85546875" style="314"/>
    <col min="15725" max="15725" width="12.28515625" style="314" customWidth="1"/>
    <col min="15726" max="15977" width="0.85546875" style="314"/>
    <col min="15978" max="15978" width="5.28515625" style="314" bestFit="1" customWidth="1"/>
    <col min="15979" max="15980" width="0.85546875" style="314"/>
    <col min="15981" max="15981" width="12.28515625" style="314" customWidth="1"/>
    <col min="15982" max="16233" width="0.85546875" style="314"/>
    <col min="16234" max="16234" width="5.28515625" style="314" bestFit="1" customWidth="1"/>
    <col min="16235" max="16236" width="0.85546875" style="314"/>
    <col min="16237" max="16237" width="12.28515625" style="314" customWidth="1"/>
    <col min="16238" max="16384" width="0.85546875" style="314"/>
  </cols>
  <sheetData>
    <row r="1" spans="1:109" ht="3" customHeight="1" x14ac:dyDescent="0.25"/>
    <row r="3" spans="1:109" s="315" customFormat="1" ht="14.25" x14ac:dyDescent="0.2">
      <c r="A3" s="609" t="s">
        <v>670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  <c r="BF3" s="609"/>
      <c r="BG3" s="609"/>
      <c r="BH3" s="609"/>
      <c r="BI3" s="609"/>
      <c r="BJ3" s="609"/>
      <c r="BK3" s="609"/>
      <c r="BL3" s="609"/>
      <c r="BM3" s="609"/>
      <c r="BN3" s="609"/>
      <c r="BO3" s="609"/>
      <c r="BP3" s="609"/>
      <c r="BQ3" s="609"/>
      <c r="BR3" s="609"/>
      <c r="BS3" s="609"/>
      <c r="BT3" s="609"/>
      <c r="BU3" s="609"/>
      <c r="BV3" s="609"/>
      <c r="BW3" s="609"/>
      <c r="BX3" s="609"/>
      <c r="BY3" s="609"/>
      <c r="BZ3" s="609"/>
      <c r="CA3" s="609"/>
      <c r="CB3" s="609"/>
      <c r="CC3" s="609"/>
      <c r="CD3" s="609"/>
      <c r="CE3" s="609"/>
      <c r="CF3" s="609"/>
      <c r="CG3" s="609"/>
      <c r="CH3" s="609"/>
      <c r="CI3" s="609"/>
      <c r="CJ3" s="609"/>
      <c r="CK3" s="609"/>
      <c r="CL3" s="609"/>
      <c r="CM3" s="609"/>
      <c r="CN3" s="609"/>
      <c r="CO3" s="609"/>
      <c r="CP3" s="609"/>
      <c r="CQ3" s="609"/>
      <c r="CR3" s="609"/>
      <c r="CS3" s="609"/>
      <c r="CT3" s="609"/>
      <c r="CU3" s="609"/>
      <c r="CV3" s="609"/>
      <c r="CW3" s="609"/>
      <c r="CX3" s="609"/>
      <c r="CY3" s="609"/>
      <c r="CZ3" s="609"/>
      <c r="DA3" s="609"/>
      <c r="DE3" s="180" t="s">
        <v>671</v>
      </c>
    </row>
    <row r="4" spans="1:109" ht="10.5" customHeight="1" x14ac:dyDescent="0.25"/>
    <row r="5" spans="1:109" s="318" customFormat="1" ht="55.5" customHeight="1" x14ac:dyDescent="0.25">
      <c r="A5" s="592" t="s">
        <v>146</v>
      </c>
      <c r="B5" s="593"/>
      <c r="C5" s="593"/>
      <c r="D5" s="593"/>
      <c r="E5" s="593"/>
      <c r="F5" s="594"/>
      <c r="G5" s="592" t="s">
        <v>600</v>
      </c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4"/>
      <c r="AE5" s="592" t="s">
        <v>612</v>
      </c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4"/>
      <c r="AZ5" s="592" t="s">
        <v>613</v>
      </c>
      <c r="BA5" s="593"/>
      <c r="BB5" s="593"/>
      <c r="BC5" s="593"/>
      <c r="BD5" s="593"/>
      <c r="BE5" s="593"/>
      <c r="BF5" s="593"/>
      <c r="BG5" s="593"/>
      <c r="BH5" s="593"/>
      <c r="BI5" s="593"/>
      <c r="BJ5" s="593"/>
      <c r="BK5" s="593"/>
      <c r="BL5" s="593"/>
      <c r="BM5" s="593"/>
      <c r="BN5" s="593"/>
      <c r="BO5" s="593"/>
      <c r="BP5" s="593"/>
      <c r="BQ5" s="594"/>
      <c r="BR5" s="592" t="s">
        <v>614</v>
      </c>
      <c r="BS5" s="593"/>
      <c r="BT5" s="593"/>
      <c r="BU5" s="593"/>
      <c r="BV5" s="593"/>
      <c r="BW5" s="593"/>
      <c r="BX5" s="593"/>
      <c r="BY5" s="593"/>
      <c r="BZ5" s="593"/>
      <c r="CA5" s="593"/>
      <c r="CB5" s="593"/>
      <c r="CC5" s="593"/>
      <c r="CD5" s="593"/>
      <c r="CE5" s="593"/>
      <c r="CF5" s="593"/>
      <c r="CG5" s="593"/>
      <c r="CH5" s="593"/>
      <c r="CI5" s="594"/>
      <c r="CJ5" s="592" t="s">
        <v>604</v>
      </c>
      <c r="CK5" s="593"/>
      <c r="CL5" s="593"/>
      <c r="CM5" s="593"/>
      <c r="CN5" s="593"/>
      <c r="CO5" s="593"/>
      <c r="CP5" s="593"/>
      <c r="CQ5" s="593"/>
      <c r="CR5" s="593"/>
      <c r="CS5" s="593"/>
      <c r="CT5" s="593"/>
      <c r="CU5" s="593"/>
      <c r="CV5" s="593"/>
      <c r="CW5" s="593"/>
      <c r="CX5" s="593"/>
      <c r="CY5" s="593"/>
      <c r="CZ5" s="593"/>
      <c r="DA5" s="594"/>
    </row>
    <row r="6" spans="1:109" s="209" customFormat="1" ht="12.75" x14ac:dyDescent="0.25">
      <c r="A6" s="602">
        <v>1</v>
      </c>
      <c r="B6" s="602"/>
      <c r="C6" s="602"/>
      <c r="D6" s="602"/>
      <c r="E6" s="602"/>
      <c r="F6" s="602"/>
      <c r="G6" s="602">
        <v>2</v>
      </c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>
        <v>3</v>
      </c>
      <c r="AF6" s="602"/>
      <c r="AG6" s="602"/>
      <c r="AH6" s="602"/>
      <c r="AI6" s="602"/>
      <c r="AJ6" s="602"/>
      <c r="AK6" s="602"/>
      <c r="AL6" s="602"/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2"/>
      <c r="AZ6" s="602">
        <v>4</v>
      </c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>
        <v>5</v>
      </c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602"/>
      <c r="CG6" s="602"/>
      <c r="CH6" s="602"/>
      <c r="CI6" s="602"/>
      <c r="CJ6" s="602">
        <v>6</v>
      </c>
      <c r="CK6" s="602"/>
      <c r="CL6" s="602"/>
      <c r="CM6" s="602"/>
      <c r="CN6" s="602"/>
      <c r="CO6" s="602"/>
      <c r="CP6" s="602"/>
      <c r="CQ6" s="602"/>
      <c r="CR6" s="602"/>
      <c r="CS6" s="602"/>
      <c r="CT6" s="602"/>
      <c r="CU6" s="602"/>
      <c r="CV6" s="602"/>
      <c r="CW6" s="602"/>
      <c r="CX6" s="602"/>
      <c r="CY6" s="602"/>
      <c r="CZ6" s="602"/>
      <c r="DA6" s="602"/>
    </row>
    <row r="7" spans="1:109" s="317" customFormat="1" ht="27" customHeight="1" x14ac:dyDescent="0.25">
      <c r="A7" s="595" t="s">
        <v>521</v>
      </c>
      <c r="B7" s="595"/>
      <c r="C7" s="595"/>
      <c r="D7" s="595"/>
      <c r="E7" s="595"/>
      <c r="F7" s="595"/>
      <c r="G7" s="596" t="s">
        <v>672</v>
      </c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7">
        <v>1</v>
      </c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>
        <v>12</v>
      </c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>
        <f>AE7*AZ7*BR7</f>
        <v>0</v>
      </c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</row>
    <row r="8" spans="1:109" s="317" customFormat="1" ht="15" customHeight="1" x14ac:dyDescent="0.25">
      <c r="A8" s="595"/>
      <c r="B8" s="595"/>
      <c r="C8" s="595"/>
      <c r="D8" s="595"/>
      <c r="E8" s="595"/>
      <c r="F8" s="595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7"/>
      <c r="AF8" s="597"/>
      <c r="AG8" s="597"/>
      <c r="AH8" s="597"/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  <c r="BX8" s="597"/>
      <c r="BY8" s="597"/>
      <c r="BZ8" s="597"/>
      <c r="CA8" s="597"/>
      <c r="CB8" s="597"/>
      <c r="CC8" s="597"/>
      <c r="CD8" s="597"/>
      <c r="CE8" s="597"/>
      <c r="CF8" s="597"/>
      <c r="CG8" s="597"/>
      <c r="CH8" s="597"/>
      <c r="CI8" s="597"/>
      <c r="CJ8" s="597"/>
      <c r="CK8" s="597"/>
      <c r="CL8" s="597"/>
      <c r="CM8" s="597"/>
      <c r="CN8" s="597"/>
      <c r="CO8" s="597"/>
      <c r="CP8" s="597"/>
      <c r="CQ8" s="597"/>
      <c r="CR8" s="597"/>
      <c r="CS8" s="597"/>
      <c r="CT8" s="597"/>
      <c r="CU8" s="597"/>
      <c r="CV8" s="597"/>
      <c r="CW8" s="597"/>
      <c r="CX8" s="597"/>
      <c r="CY8" s="597"/>
      <c r="CZ8" s="597"/>
      <c r="DA8" s="597"/>
    </row>
    <row r="9" spans="1:109" s="317" customFormat="1" ht="15" customHeight="1" x14ac:dyDescent="0.25">
      <c r="A9" s="595"/>
      <c r="B9" s="595"/>
      <c r="C9" s="595"/>
      <c r="D9" s="595"/>
      <c r="E9" s="595"/>
      <c r="F9" s="595"/>
      <c r="G9" s="606" t="s">
        <v>610</v>
      </c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7"/>
      <c r="AE9" s="597" t="s">
        <v>487</v>
      </c>
      <c r="AF9" s="597"/>
      <c r="AG9" s="597"/>
      <c r="AH9" s="597"/>
      <c r="AI9" s="597"/>
      <c r="AJ9" s="597"/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7"/>
      <c r="AX9" s="597"/>
      <c r="AY9" s="597"/>
      <c r="AZ9" s="597" t="s">
        <v>487</v>
      </c>
      <c r="BA9" s="597"/>
      <c r="BB9" s="597"/>
      <c r="BC9" s="597"/>
      <c r="BD9" s="597"/>
      <c r="BE9" s="597"/>
      <c r="BF9" s="597"/>
      <c r="BG9" s="597"/>
      <c r="BH9" s="597"/>
      <c r="BI9" s="597"/>
      <c r="BJ9" s="597"/>
      <c r="BK9" s="597"/>
      <c r="BL9" s="597"/>
      <c r="BM9" s="597"/>
      <c r="BN9" s="597"/>
      <c r="BO9" s="597"/>
      <c r="BP9" s="597"/>
      <c r="BQ9" s="597"/>
      <c r="BR9" s="597" t="s">
        <v>487</v>
      </c>
      <c r="BS9" s="597"/>
      <c r="BT9" s="597"/>
      <c r="BU9" s="597"/>
      <c r="BV9" s="597"/>
      <c r="BW9" s="597"/>
      <c r="BX9" s="597"/>
      <c r="BY9" s="597"/>
      <c r="BZ9" s="597"/>
      <c r="CA9" s="597"/>
      <c r="CB9" s="597"/>
      <c r="CC9" s="597"/>
      <c r="CD9" s="597"/>
      <c r="CE9" s="597"/>
      <c r="CF9" s="597"/>
      <c r="CG9" s="597"/>
      <c r="CH9" s="597"/>
      <c r="CI9" s="597"/>
      <c r="CJ9" s="608">
        <f>ROUND((CJ7),-2)</f>
        <v>0</v>
      </c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E9" s="317">
        <v>212</v>
      </c>
    </row>
    <row r="11" spans="1:109" ht="3" customHeight="1" x14ac:dyDescent="0.25"/>
    <row r="12" spans="1:109" s="315" customFormat="1" ht="64.5" customHeight="1" x14ac:dyDescent="0.2">
      <c r="A12" s="791" t="s">
        <v>673</v>
      </c>
      <c r="B12" s="791"/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91"/>
      <c r="BB12" s="791"/>
      <c r="BC12" s="791"/>
      <c r="BD12" s="791"/>
      <c r="BE12" s="791"/>
      <c r="BF12" s="791"/>
      <c r="BG12" s="791"/>
      <c r="BH12" s="791"/>
      <c r="BI12" s="791"/>
      <c r="BJ12" s="791"/>
      <c r="BK12" s="791"/>
      <c r="BL12" s="791"/>
      <c r="BM12" s="791"/>
      <c r="BN12" s="791"/>
      <c r="BO12" s="791"/>
      <c r="BP12" s="791"/>
      <c r="BQ12" s="791"/>
      <c r="BR12" s="791"/>
      <c r="BS12" s="791"/>
      <c r="BT12" s="791"/>
      <c r="BU12" s="791"/>
      <c r="BV12" s="791"/>
      <c r="BW12" s="791"/>
      <c r="BX12" s="791"/>
      <c r="BY12" s="791"/>
      <c r="BZ12" s="791"/>
      <c r="CA12" s="791"/>
      <c r="CB12" s="791"/>
      <c r="CC12" s="791"/>
      <c r="CD12" s="791"/>
      <c r="CE12" s="791"/>
      <c r="CF12" s="791"/>
      <c r="CG12" s="791"/>
      <c r="CH12" s="791"/>
      <c r="CI12" s="791"/>
      <c r="CJ12" s="791"/>
      <c r="CK12" s="791"/>
      <c r="CL12" s="791"/>
      <c r="CM12" s="791"/>
      <c r="CN12" s="791"/>
      <c r="CO12" s="791"/>
      <c r="CP12" s="791"/>
      <c r="CQ12" s="791"/>
      <c r="CR12" s="791"/>
      <c r="CS12" s="791"/>
      <c r="CT12" s="791"/>
      <c r="CU12" s="791"/>
      <c r="CV12" s="791"/>
      <c r="CW12" s="791"/>
      <c r="CX12" s="791"/>
      <c r="CY12" s="791"/>
      <c r="CZ12" s="791"/>
      <c r="DA12" s="791"/>
      <c r="DE12" s="180" t="s">
        <v>671</v>
      </c>
    </row>
    <row r="13" spans="1:109" ht="10.5" customHeight="1" x14ac:dyDescent="0.25"/>
    <row r="14" spans="1:109" ht="55.5" customHeight="1" x14ac:dyDescent="0.25">
      <c r="A14" s="592" t="s">
        <v>146</v>
      </c>
      <c r="B14" s="593"/>
      <c r="C14" s="593"/>
      <c r="D14" s="593"/>
      <c r="E14" s="593"/>
      <c r="F14" s="594"/>
      <c r="G14" s="592" t="s">
        <v>518</v>
      </c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4"/>
      <c r="BW14" s="592" t="s">
        <v>519</v>
      </c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4"/>
      <c r="CM14" s="592" t="s">
        <v>520</v>
      </c>
      <c r="CN14" s="593"/>
      <c r="CO14" s="593"/>
      <c r="CP14" s="593"/>
      <c r="CQ14" s="593"/>
      <c r="CR14" s="593"/>
      <c r="CS14" s="593"/>
      <c r="CT14" s="593"/>
      <c r="CU14" s="593"/>
      <c r="CV14" s="593"/>
      <c r="CW14" s="593"/>
      <c r="CX14" s="593"/>
      <c r="CY14" s="593"/>
      <c r="CZ14" s="593"/>
      <c r="DA14" s="594"/>
    </row>
    <row r="15" spans="1:109" s="202" customFormat="1" ht="12.75" x14ac:dyDescent="0.2">
      <c r="A15" s="602">
        <v>1</v>
      </c>
      <c r="B15" s="602"/>
      <c r="C15" s="602"/>
      <c r="D15" s="602"/>
      <c r="E15" s="602"/>
      <c r="F15" s="602"/>
      <c r="G15" s="602">
        <v>2</v>
      </c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2"/>
      <c r="T15" s="60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2"/>
      <c r="AM15" s="602"/>
      <c r="AN15" s="602"/>
      <c r="AO15" s="602"/>
      <c r="AP15" s="602"/>
      <c r="AQ15" s="602"/>
      <c r="AR15" s="602"/>
      <c r="AS15" s="602"/>
      <c r="AT15" s="602"/>
      <c r="AU15" s="602"/>
      <c r="AV15" s="602"/>
      <c r="AW15" s="602"/>
      <c r="AX15" s="602"/>
      <c r="AY15" s="602"/>
      <c r="AZ15" s="602"/>
      <c r="BA15" s="602"/>
      <c r="BB15" s="602"/>
      <c r="BC15" s="602"/>
      <c r="BD15" s="602"/>
      <c r="BE15" s="602"/>
      <c r="BF15" s="602"/>
      <c r="BG15" s="602"/>
      <c r="BH15" s="602"/>
      <c r="BI15" s="602"/>
      <c r="BJ15" s="602"/>
      <c r="BK15" s="602"/>
      <c r="BL15" s="602"/>
      <c r="BM15" s="602"/>
      <c r="BN15" s="602"/>
      <c r="BO15" s="602"/>
      <c r="BP15" s="602"/>
      <c r="BQ15" s="602"/>
      <c r="BR15" s="602"/>
      <c r="BS15" s="602"/>
      <c r="BT15" s="602"/>
      <c r="BU15" s="602"/>
      <c r="BV15" s="602"/>
      <c r="BW15" s="602">
        <v>3</v>
      </c>
      <c r="BX15" s="602"/>
      <c r="BY15" s="602"/>
      <c r="BZ15" s="602"/>
      <c r="CA15" s="602"/>
      <c r="CB15" s="602"/>
      <c r="CC15" s="602"/>
      <c r="CD15" s="602"/>
      <c r="CE15" s="602"/>
      <c r="CF15" s="602"/>
      <c r="CG15" s="602"/>
      <c r="CH15" s="602"/>
      <c r="CI15" s="602"/>
      <c r="CJ15" s="602"/>
      <c r="CK15" s="602"/>
      <c r="CL15" s="602"/>
      <c r="CM15" s="602">
        <v>4</v>
      </c>
      <c r="CN15" s="602"/>
      <c r="CO15" s="602"/>
      <c r="CP15" s="602"/>
      <c r="CQ15" s="602"/>
      <c r="CR15" s="602"/>
      <c r="CS15" s="602"/>
      <c r="CT15" s="602"/>
      <c r="CU15" s="602"/>
      <c r="CV15" s="602"/>
      <c r="CW15" s="602"/>
      <c r="CX15" s="602"/>
      <c r="CY15" s="602"/>
      <c r="CZ15" s="602"/>
      <c r="DA15" s="602"/>
    </row>
    <row r="16" spans="1:109" ht="15" customHeight="1" x14ac:dyDescent="0.25">
      <c r="A16" s="595" t="s">
        <v>521</v>
      </c>
      <c r="B16" s="595"/>
      <c r="C16" s="595"/>
      <c r="D16" s="595"/>
      <c r="E16" s="595"/>
      <c r="F16" s="595"/>
      <c r="G16" s="321"/>
      <c r="H16" s="612" t="s">
        <v>522</v>
      </c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2"/>
      <c r="AQ16" s="612"/>
      <c r="AR16" s="612"/>
      <c r="AS16" s="612"/>
      <c r="AT16" s="612"/>
      <c r="AU16" s="612"/>
      <c r="AV16" s="612"/>
      <c r="AW16" s="612"/>
      <c r="AX16" s="612"/>
      <c r="AY16" s="612"/>
      <c r="AZ16" s="612"/>
      <c r="BA16" s="612"/>
      <c r="BB16" s="612"/>
      <c r="BC16" s="612"/>
      <c r="BD16" s="612"/>
      <c r="BE16" s="612"/>
      <c r="BF16" s="612"/>
      <c r="BG16" s="612"/>
      <c r="BH16" s="612"/>
      <c r="BI16" s="612"/>
      <c r="BJ16" s="612"/>
      <c r="BK16" s="612"/>
      <c r="BL16" s="612"/>
      <c r="BM16" s="612"/>
      <c r="BN16" s="612"/>
      <c r="BO16" s="612"/>
      <c r="BP16" s="612"/>
      <c r="BQ16" s="612"/>
      <c r="BR16" s="612"/>
      <c r="BS16" s="612"/>
      <c r="BT16" s="612"/>
      <c r="BU16" s="612"/>
      <c r="BV16" s="613"/>
      <c r="BW16" s="597" t="s">
        <v>487</v>
      </c>
      <c r="BX16" s="597"/>
      <c r="BY16" s="597"/>
      <c r="BZ16" s="597"/>
      <c r="CA16" s="597"/>
      <c r="CB16" s="597"/>
      <c r="CC16" s="597"/>
      <c r="CD16" s="597"/>
      <c r="CE16" s="597"/>
      <c r="CF16" s="597"/>
      <c r="CG16" s="597"/>
      <c r="CH16" s="597"/>
      <c r="CI16" s="597"/>
      <c r="CJ16" s="597"/>
      <c r="CK16" s="597"/>
      <c r="CL16" s="597"/>
      <c r="CM16" s="597"/>
      <c r="CN16" s="597"/>
      <c r="CO16" s="597"/>
      <c r="CP16" s="597"/>
      <c r="CQ16" s="597"/>
      <c r="CR16" s="597"/>
      <c r="CS16" s="597"/>
      <c r="CT16" s="597"/>
      <c r="CU16" s="597"/>
      <c r="CV16" s="597"/>
      <c r="CW16" s="597"/>
      <c r="CX16" s="597"/>
      <c r="CY16" s="597"/>
      <c r="CZ16" s="597"/>
      <c r="DA16" s="597"/>
    </row>
    <row r="17" spans="1:109" s="202" customFormat="1" ht="12.75" x14ac:dyDescent="0.2">
      <c r="A17" s="614" t="s">
        <v>523</v>
      </c>
      <c r="B17" s="615"/>
      <c r="C17" s="615"/>
      <c r="D17" s="615"/>
      <c r="E17" s="615"/>
      <c r="F17" s="616"/>
      <c r="G17" s="322"/>
      <c r="H17" s="620" t="s">
        <v>215</v>
      </c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  <c r="BC17" s="620"/>
      <c r="BD17" s="620"/>
      <c r="BE17" s="620"/>
      <c r="BF17" s="620"/>
      <c r="BG17" s="620"/>
      <c r="BH17" s="620"/>
      <c r="BI17" s="620"/>
      <c r="BJ17" s="620"/>
      <c r="BK17" s="620"/>
      <c r="BL17" s="620"/>
      <c r="BM17" s="620"/>
      <c r="BN17" s="620"/>
      <c r="BO17" s="620"/>
      <c r="BP17" s="620"/>
      <c r="BQ17" s="620"/>
      <c r="BR17" s="620"/>
      <c r="BS17" s="620"/>
      <c r="BT17" s="620"/>
      <c r="BU17" s="620"/>
      <c r="BV17" s="621"/>
      <c r="BW17" s="792">
        <v>5211299.1500000004</v>
      </c>
      <c r="BX17" s="793"/>
      <c r="BY17" s="793"/>
      <c r="BZ17" s="793"/>
      <c r="CA17" s="793"/>
      <c r="CB17" s="793"/>
      <c r="CC17" s="793"/>
      <c r="CD17" s="793"/>
      <c r="CE17" s="793"/>
      <c r="CF17" s="793"/>
      <c r="CG17" s="793"/>
      <c r="CH17" s="793"/>
      <c r="CI17" s="793"/>
      <c r="CJ17" s="793"/>
      <c r="CK17" s="793"/>
      <c r="CL17" s="794"/>
      <c r="CM17" s="628">
        <f>BW17*22%</f>
        <v>1146485.8130000001</v>
      </c>
      <c r="CN17" s="629"/>
      <c r="CO17" s="629"/>
      <c r="CP17" s="629"/>
      <c r="CQ17" s="629"/>
      <c r="CR17" s="629"/>
      <c r="CS17" s="629"/>
      <c r="CT17" s="629"/>
      <c r="CU17" s="629"/>
      <c r="CV17" s="629"/>
      <c r="CW17" s="629"/>
      <c r="CX17" s="629"/>
      <c r="CY17" s="629"/>
      <c r="CZ17" s="629"/>
      <c r="DA17" s="630"/>
    </row>
    <row r="18" spans="1:109" s="202" customFormat="1" ht="12.75" x14ac:dyDescent="0.2">
      <c r="A18" s="617"/>
      <c r="B18" s="618"/>
      <c r="C18" s="618"/>
      <c r="D18" s="618"/>
      <c r="E18" s="618"/>
      <c r="F18" s="619"/>
      <c r="G18" s="323"/>
      <c r="H18" s="634" t="s">
        <v>524</v>
      </c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4"/>
      <c r="AG18" s="634"/>
      <c r="AH18" s="634"/>
      <c r="AI18" s="634"/>
      <c r="AJ18" s="634"/>
      <c r="AK18" s="634"/>
      <c r="AL18" s="634"/>
      <c r="AM18" s="634"/>
      <c r="AN18" s="634"/>
      <c r="AO18" s="634"/>
      <c r="AP18" s="634"/>
      <c r="AQ18" s="634"/>
      <c r="AR18" s="634"/>
      <c r="AS18" s="634"/>
      <c r="AT18" s="634"/>
      <c r="AU18" s="634"/>
      <c r="AV18" s="634"/>
      <c r="AW18" s="634"/>
      <c r="AX18" s="634"/>
      <c r="AY18" s="634"/>
      <c r="AZ18" s="634"/>
      <c r="BA18" s="634"/>
      <c r="BB18" s="634"/>
      <c r="BC18" s="634"/>
      <c r="BD18" s="634"/>
      <c r="BE18" s="634"/>
      <c r="BF18" s="634"/>
      <c r="BG18" s="634"/>
      <c r="BH18" s="634"/>
      <c r="BI18" s="634"/>
      <c r="BJ18" s="634"/>
      <c r="BK18" s="634"/>
      <c r="BL18" s="634"/>
      <c r="BM18" s="634"/>
      <c r="BN18" s="634"/>
      <c r="BO18" s="634"/>
      <c r="BP18" s="634"/>
      <c r="BQ18" s="634"/>
      <c r="BR18" s="634"/>
      <c r="BS18" s="634"/>
      <c r="BT18" s="634"/>
      <c r="BU18" s="634"/>
      <c r="BV18" s="635"/>
      <c r="BW18" s="795"/>
      <c r="BX18" s="796"/>
      <c r="BY18" s="796"/>
      <c r="BZ18" s="796"/>
      <c r="CA18" s="796"/>
      <c r="CB18" s="796"/>
      <c r="CC18" s="796"/>
      <c r="CD18" s="796"/>
      <c r="CE18" s="796"/>
      <c r="CF18" s="796"/>
      <c r="CG18" s="796"/>
      <c r="CH18" s="796"/>
      <c r="CI18" s="796"/>
      <c r="CJ18" s="796"/>
      <c r="CK18" s="796"/>
      <c r="CL18" s="797"/>
      <c r="CM18" s="631"/>
      <c r="CN18" s="632"/>
      <c r="CO18" s="632"/>
      <c r="CP18" s="632"/>
      <c r="CQ18" s="632"/>
      <c r="CR18" s="632"/>
      <c r="CS18" s="632"/>
      <c r="CT18" s="632"/>
      <c r="CU18" s="632"/>
      <c r="CV18" s="632"/>
      <c r="CW18" s="632"/>
      <c r="CX18" s="632"/>
      <c r="CY18" s="632"/>
      <c r="CZ18" s="632"/>
      <c r="DA18" s="633"/>
      <c r="DE18" s="202">
        <v>211</v>
      </c>
    </row>
    <row r="19" spans="1:109" s="202" customFormat="1" ht="13.5" customHeight="1" x14ac:dyDescent="0.2">
      <c r="A19" s="595" t="s">
        <v>525</v>
      </c>
      <c r="B19" s="595"/>
      <c r="C19" s="595"/>
      <c r="D19" s="595"/>
      <c r="E19" s="595"/>
      <c r="F19" s="595"/>
      <c r="G19" s="321"/>
      <c r="H19" s="610" t="s">
        <v>526</v>
      </c>
      <c r="I19" s="610"/>
      <c r="J19" s="610"/>
      <c r="K19" s="610"/>
      <c r="L19" s="610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1"/>
      <c r="BW19" s="597"/>
      <c r="BX19" s="597"/>
      <c r="BY19" s="597"/>
      <c r="BZ19" s="597"/>
      <c r="CA19" s="597"/>
      <c r="CB19" s="597"/>
      <c r="CC19" s="597"/>
      <c r="CD19" s="597"/>
      <c r="CE19" s="597"/>
      <c r="CF19" s="597"/>
      <c r="CG19" s="597"/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597"/>
      <c r="CW19" s="597"/>
      <c r="CX19" s="597"/>
      <c r="CY19" s="597"/>
      <c r="CZ19" s="597"/>
      <c r="DA19" s="597"/>
    </row>
    <row r="20" spans="1:109" s="202" customFormat="1" ht="26.25" customHeight="1" x14ac:dyDescent="0.2">
      <c r="A20" s="595" t="s">
        <v>527</v>
      </c>
      <c r="B20" s="595"/>
      <c r="C20" s="595"/>
      <c r="D20" s="595"/>
      <c r="E20" s="595"/>
      <c r="F20" s="595"/>
      <c r="G20" s="321"/>
      <c r="H20" s="610" t="s">
        <v>528</v>
      </c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1"/>
      <c r="BW20" s="597"/>
      <c r="BX20" s="597"/>
      <c r="BY20" s="597"/>
      <c r="BZ20" s="597"/>
      <c r="CA20" s="597"/>
      <c r="CB20" s="597"/>
      <c r="CC20" s="597"/>
      <c r="CD20" s="597"/>
      <c r="CE20" s="597"/>
      <c r="CF20" s="597"/>
      <c r="CG20" s="597"/>
      <c r="CH20" s="597"/>
      <c r="CI20" s="597"/>
      <c r="CJ20" s="597"/>
      <c r="CK20" s="597"/>
      <c r="CL20" s="597"/>
      <c r="CM20" s="597"/>
      <c r="CN20" s="597"/>
      <c r="CO20" s="597"/>
      <c r="CP20" s="597"/>
      <c r="CQ20" s="597"/>
      <c r="CR20" s="597"/>
      <c r="CS20" s="597"/>
      <c r="CT20" s="597"/>
      <c r="CU20" s="597"/>
      <c r="CV20" s="597"/>
      <c r="CW20" s="597"/>
      <c r="CX20" s="597"/>
      <c r="CY20" s="597"/>
      <c r="CZ20" s="597"/>
      <c r="DA20" s="597"/>
    </row>
    <row r="21" spans="1:109" s="202" customFormat="1" ht="26.25" customHeight="1" x14ac:dyDescent="0.2">
      <c r="A21" s="595" t="s">
        <v>529</v>
      </c>
      <c r="B21" s="595"/>
      <c r="C21" s="595"/>
      <c r="D21" s="595"/>
      <c r="E21" s="595"/>
      <c r="F21" s="595"/>
      <c r="G21" s="321"/>
      <c r="H21" s="612" t="s">
        <v>530</v>
      </c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12"/>
      <c r="AT21" s="612"/>
      <c r="AU21" s="612"/>
      <c r="AV21" s="612"/>
      <c r="AW21" s="612"/>
      <c r="AX21" s="612"/>
      <c r="AY21" s="612"/>
      <c r="AZ21" s="612"/>
      <c r="BA21" s="612"/>
      <c r="BB21" s="612"/>
      <c r="BC21" s="612"/>
      <c r="BD21" s="612"/>
      <c r="BE21" s="612"/>
      <c r="BF21" s="612"/>
      <c r="BG21" s="612"/>
      <c r="BH21" s="612"/>
      <c r="BI21" s="612"/>
      <c r="BJ21" s="612"/>
      <c r="BK21" s="612"/>
      <c r="BL21" s="612"/>
      <c r="BM21" s="612"/>
      <c r="BN21" s="612"/>
      <c r="BO21" s="612"/>
      <c r="BP21" s="612"/>
      <c r="BQ21" s="612"/>
      <c r="BR21" s="612"/>
      <c r="BS21" s="612"/>
      <c r="BT21" s="612"/>
      <c r="BU21" s="612"/>
      <c r="BV21" s="613"/>
      <c r="BW21" s="597" t="s">
        <v>487</v>
      </c>
      <c r="BX21" s="597"/>
      <c r="BY21" s="597"/>
      <c r="BZ21" s="597"/>
      <c r="CA21" s="597"/>
      <c r="CB21" s="597"/>
      <c r="CC21" s="597"/>
      <c r="CD21" s="597"/>
      <c r="CE21" s="597"/>
      <c r="CF21" s="597"/>
      <c r="CG21" s="597"/>
      <c r="CH21" s="597"/>
      <c r="CI21" s="597"/>
      <c r="CJ21" s="597"/>
      <c r="CK21" s="597"/>
      <c r="CL21" s="597"/>
      <c r="CM21" s="597"/>
      <c r="CN21" s="597"/>
      <c r="CO21" s="597"/>
      <c r="CP21" s="597"/>
      <c r="CQ21" s="597"/>
      <c r="CR21" s="597"/>
      <c r="CS21" s="597"/>
      <c r="CT21" s="597"/>
      <c r="CU21" s="597"/>
      <c r="CV21" s="597"/>
      <c r="CW21" s="597"/>
      <c r="CX21" s="597"/>
      <c r="CY21" s="597"/>
      <c r="CZ21" s="597"/>
      <c r="DA21" s="597"/>
    </row>
    <row r="22" spans="1:109" s="202" customFormat="1" ht="12.75" x14ac:dyDescent="0.2">
      <c r="A22" s="614" t="s">
        <v>531</v>
      </c>
      <c r="B22" s="615"/>
      <c r="C22" s="615"/>
      <c r="D22" s="615"/>
      <c r="E22" s="615"/>
      <c r="F22" s="616"/>
      <c r="G22" s="322"/>
      <c r="H22" s="620" t="s">
        <v>215</v>
      </c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/>
      <c r="BO22" s="620"/>
      <c r="BP22" s="620"/>
      <c r="BQ22" s="620"/>
      <c r="BR22" s="620"/>
      <c r="BS22" s="620"/>
      <c r="BT22" s="620"/>
      <c r="BU22" s="620"/>
      <c r="BV22" s="621"/>
      <c r="BW22" s="628">
        <f>BW17</f>
        <v>5211299.1500000004</v>
      </c>
      <c r="BX22" s="636"/>
      <c r="BY22" s="636"/>
      <c r="BZ22" s="636"/>
      <c r="CA22" s="636"/>
      <c r="CB22" s="636"/>
      <c r="CC22" s="636"/>
      <c r="CD22" s="636"/>
      <c r="CE22" s="636"/>
      <c r="CF22" s="636"/>
      <c r="CG22" s="636"/>
      <c r="CH22" s="636"/>
      <c r="CI22" s="636"/>
      <c r="CJ22" s="636"/>
      <c r="CK22" s="636"/>
      <c r="CL22" s="637"/>
      <c r="CM22" s="628">
        <f>BW22*2.9%</f>
        <v>151127.67535</v>
      </c>
      <c r="CN22" s="629"/>
      <c r="CO22" s="629"/>
      <c r="CP22" s="629"/>
      <c r="CQ22" s="629"/>
      <c r="CR22" s="629"/>
      <c r="CS22" s="629"/>
      <c r="CT22" s="629"/>
      <c r="CU22" s="629"/>
      <c r="CV22" s="629"/>
      <c r="CW22" s="629"/>
      <c r="CX22" s="629"/>
      <c r="CY22" s="629"/>
      <c r="CZ22" s="629"/>
      <c r="DA22" s="630"/>
    </row>
    <row r="23" spans="1:109" s="202" customFormat="1" ht="25.5" customHeight="1" x14ac:dyDescent="0.2">
      <c r="A23" s="617"/>
      <c r="B23" s="618"/>
      <c r="C23" s="618"/>
      <c r="D23" s="618"/>
      <c r="E23" s="618"/>
      <c r="F23" s="619"/>
      <c r="G23" s="323"/>
      <c r="H23" s="634" t="s">
        <v>532</v>
      </c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4"/>
      <c r="AJ23" s="634"/>
      <c r="AK23" s="634"/>
      <c r="AL23" s="634"/>
      <c r="AM23" s="634"/>
      <c r="AN23" s="634"/>
      <c r="AO23" s="634"/>
      <c r="AP23" s="634"/>
      <c r="AQ23" s="634"/>
      <c r="AR23" s="634"/>
      <c r="AS23" s="634"/>
      <c r="AT23" s="634"/>
      <c r="AU23" s="634"/>
      <c r="AV23" s="634"/>
      <c r="AW23" s="634"/>
      <c r="AX23" s="634"/>
      <c r="AY23" s="634"/>
      <c r="AZ23" s="634"/>
      <c r="BA23" s="634"/>
      <c r="BB23" s="634"/>
      <c r="BC23" s="634"/>
      <c r="BD23" s="634"/>
      <c r="BE23" s="634"/>
      <c r="BF23" s="634"/>
      <c r="BG23" s="634"/>
      <c r="BH23" s="634"/>
      <c r="BI23" s="634"/>
      <c r="BJ23" s="634"/>
      <c r="BK23" s="634"/>
      <c r="BL23" s="634"/>
      <c r="BM23" s="634"/>
      <c r="BN23" s="634"/>
      <c r="BO23" s="634"/>
      <c r="BP23" s="634"/>
      <c r="BQ23" s="634"/>
      <c r="BR23" s="634"/>
      <c r="BS23" s="634"/>
      <c r="BT23" s="634"/>
      <c r="BU23" s="634"/>
      <c r="BV23" s="635"/>
      <c r="BW23" s="638"/>
      <c r="BX23" s="639"/>
      <c r="BY23" s="639"/>
      <c r="BZ23" s="639"/>
      <c r="CA23" s="639"/>
      <c r="CB23" s="639"/>
      <c r="CC23" s="639"/>
      <c r="CD23" s="639"/>
      <c r="CE23" s="639"/>
      <c r="CF23" s="639"/>
      <c r="CG23" s="639"/>
      <c r="CH23" s="639"/>
      <c r="CI23" s="639"/>
      <c r="CJ23" s="639"/>
      <c r="CK23" s="639"/>
      <c r="CL23" s="640"/>
      <c r="CM23" s="631"/>
      <c r="CN23" s="632"/>
      <c r="CO23" s="632"/>
      <c r="CP23" s="632"/>
      <c r="CQ23" s="632"/>
      <c r="CR23" s="632"/>
      <c r="CS23" s="632"/>
      <c r="CT23" s="632"/>
      <c r="CU23" s="632"/>
      <c r="CV23" s="632"/>
      <c r="CW23" s="632"/>
      <c r="CX23" s="632"/>
      <c r="CY23" s="632"/>
      <c r="CZ23" s="632"/>
      <c r="DA23" s="633"/>
    </row>
    <row r="24" spans="1:109" s="202" customFormat="1" ht="26.25" customHeight="1" x14ac:dyDescent="0.2">
      <c r="A24" s="595" t="s">
        <v>533</v>
      </c>
      <c r="B24" s="595"/>
      <c r="C24" s="595"/>
      <c r="D24" s="595"/>
      <c r="E24" s="595"/>
      <c r="F24" s="595"/>
      <c r="G24" s="321"/>
      <c r="H24" s="610" t="s">
        <v>534</v>
      </c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AO24" s="610"/>
      <c r="AP24" s="610"/>
      <c r="AQ24" s="610"/>
      <c r="AR24" s="610"/>
      <c r="AS24" s="610"/>
      <c r="AT24" s="610"/>
      <c r="AU24" s="610"/>
      <c r="AV24" s="610"/>
      <c r="AW24" s="610"/>
      <c r="AX24" s="610"/>
      <c r="AY24" s="610"/>
      <c r="AZ24" s="610"/>
      <c r="BA24" s="610"/>
      <c r="BB24" s="610"/>
      <c r="BC24" s="610"/>
      <c r="BD24" s="610"/>
      <c r="BE24" s="610"/>
      <c r="BF24" s="610"/>
      <c r="BG24" s="610"/>
      <c r="BH24" s="610"/>
      <c r="BI24" s="610"/>
      <c r="BJ24" s="610"/>
      <c r="BK24" s="610"/>
      <c r="BL24" s="610"/>
      <c r="BM24" s="610"/>
      <c r="BN24" s="610"/>
      <c r="BO24" s="610"/>
      <c r="BP24" s="610"/>
      <c r="BQ24" s="610"/>
      <c r="BR24" s="610"/>
      <c r="BS24" s="610"/>
      <c r="BT24" s="610"/>
      <c r="BU24" s="610"/>
      <c r="BV24" s="611"/>
      <c r="BW24" s="597"/>
      <c r="BX24" s="597"/>
      <c r="BY24" s="597"/>
      <c r="BZ24" s="597"/>
      <c r="CA24" s="597"/>
      <c r="CB24" s="597"/>
      <c r="CC24" s="597"/>
      <c r="CD24" s="597"/>
      <c r="CE24" s="597"/>
      <c r="CF24" s="597"/>
      <c r="CG24" s="597"/>
      <c r="CH24" s="597"/>
      <c r="CI24" s="597"/>
      <c r="CJ24" s="597"/>
      <c r="CK24" s="597"/>
      <c r="CL24" s="597"/>
      <c r="CM24" s="597"/>
      <c r="CN24" s="597"/>
      <c r="CO24" s="597"/>
      <c r="CP24" s="597"/>
      <c r="CQ24" s="597"/>
      <c r="CR24" s="597"/>
      <c r="CS24" s="597"/>
      <c r="CT24" s="597"/>
      <c r="CU24" s="597"/>
      <c r="CV24" s="597"/>
      <c r="CW24" s="597"/>
      <c r="CX24" s="597"/>
      <c r="CY24" s="597"/>
      <c r="CZ24" s="597"/>
      <c r="DA24" s="597"/>
    </row>
    <row r="25" spans="1:109" s="202" customFormat="1" ht="27" customHeight="1" x14ac:dyDescent="0.2">
      <c r="A25" s="595" t="s">
        <v>535</v>
      </c>
      <c r="B25" s="595"/>
      <c r="C25" s="595"/>
      <c r="D25" s="595"/>
      <c r="E25" s="595"/>
      <c r="F25" s="595"/>
      <c r="G25" s="321"/>
      <c r="H25" s="610" t="s">
        <v>536</v>
      </c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610"/>
      <c r="AL25" s="610"/>
      <c r="AM25" s="610"/>
      <c r="AN25" s="610"/>
      <c r="AO25" s="610"/>
      <c r="AP25" s="610"/>
      <c r="AQ25" s="610"/>
      <c r="AR25" s="610"/>
      <c r="AS25" s="610"/>
      <c r="AT25" s="610"/>
      <c r="AU25" s="610"/>
      <c r="AV25" s="610"/>
      <c r="AW25" s="610"/>
      <c r="AX25" s="610"/>
      <c r="AY25" s="610"/>
      <c r="AZ25" s="610"/>
      <c r="BA25" s="610"/>
      <c r="BB25" s="610"/>
      <c r="BC25" s="610"/>
      <c r="BD25" s="610"/>
      <c r="BE25" s="610"/>
      <c r="BF25" s="610"/>
      <c r="BG25" s="610"/>
      <c r="BH25" s="610"/>
      <c r="BI25" s="610"/>
      <c r="BJ25" s="610"/>
      <c r="BK25" s="610"/>
      <c r="BL25" s="610"/>
      <c r="BM25" s="610"/>
      <c r="BN25" s="610"/>
      <c r="BO25" s="610"/>
      <c r="BP25" s="610"/>
      <c r="BQ25" s="610"/>
      <c r="BR25" s="610"/>
      <c r="BS25" s="610"/>
      <c r="BT25" s="610"/>
      <c r="BU25" s="610"/>
      <c r="BV25" s="611"/>
      <c r="BW25" s="601">
        <f>BW17</f>
        <v>5211299.1500000004</v>
      </c>
      <c r="BX25" s="597"/>
      <c r="BY25" s="597"/>
      <c r="BZ25" s="597"/>
      <c r="CA25" s="597"/>
      <c r="CB25" s="597"/>
      <c r="CC25" s="597"/>
      <c r="CD25" s="597"/>
      <c r="CE25" s="597"/>
      <c r="CF25" s="597"/>
      <c r="CG25" s="597"/>
      <c r="CH25" s="597"/>
      <c r="CI25" s="597"/>
      <c r="CJ25" s="597"/>
      <c r="CK25" s="597"/>
      <c r="CL25" s="597"/>
      <c r="CM25" s="601">
        <f>BW25*0.2%</f>
        <v>10422.598300000001</v>
      </c>
      <c r="CN25" s="601"/>
      <c r="CO25" s="601"/>
      <c r="CP25" s="601"/>
      <c r="CQ25" s="601"/>
      <c r="CR25" s="601"/>
      <c r="CS25" s="601"/>
      <c r="CT25" s="601"/>
      <c r="CU25" s="601"/>
      <c r="CV25" s="601"/>
      <c r="CW25" s="601"/>
      <c r="CX25" s="601"/>
      <c r="CY25" s="601"/>
      <c r="CZ25" s="601"/>
      <c r="DA25" s="601"/>
    </row>
    <row r="26" spans="1:109" s="202" customFormat="1" ht="27" customHeight="1" x14ac:dyDescent="0.2">
      <c r="A26" s="595" t="s">
        <v>537</v>
      </c>
      <c r="B26" s="595"/>
      <c r="C26" s="595"/>
      <c r="D26" s="595"/>
      <c r="E26" s="595"/>
      <c r="F26" s="595"/>
      <c r="G26" s="321"/>
      <c r="H26" s="610" t="s">
        <v>538</v>
      </c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/>
      <c r="AR26" s="610"/>
      <c r="AS26" s="610"/>
      <c r="AT26" s="610"/>
      <c r="AU26" s="610"/>
      <c r="AV26" s="610"/>
      <c r="AW26" s="610"/>
      <c r="AX26" s="610"/>
      <c r="AY26" s="610"/>
      <c r="AZ26" s="610"/>
      <c r="BA26" s="610"/>
      <c r="BB26" s="610"/>
      <c r="BC26" s="610"/>
      <c r="BD26" s="610"/>
      <c r="BE26" s="610"/>
      <c r="BF26" s="610"/>
      <c r="BG26" s="610"/>
      <c r="BH26" s="610"/>
      <c r="BI26" s="610"/>
      <c r="BJ26" s="610"/>
      <c r="BK26" s="610"/>
      <c r="BL26" s="610"/>
      <c r="BM26" s="610"/>
      <c r="BN26" s="610"/>
      <c r="BO26" s="610"/>
      <c r="BP26" s="610"/>
      <c r="BQ26" s="610"/>
      <c r="BR26" s="610"/>
      <c r="BS26" s="610"/>
      <c r="BT26" s="610"/>
      <c r="BU26" s="610"/>
      <c r="BV26" s="611"/>
      <c r="BW26" s="597"/>
      <c r="BX26" s="597"/>
      <c r="BY26" s="597"/>
      <c r="BZ26" s="597"/>
      <c r="CA26" s="597"/>
      <c r="CB26" s="597"/>
      <c r="CC26" s="597"/>
      <c r="CD26" s="597"/>
      <c r="CE26" s="597"/>
      <c r="CF26" s="597"/>
      <c r="CG26" s="597"/>
      <c r="CH26" s="597"/>
      <c r="CI26" s="597"/>
      <c r="CJ26" s="597"/>
      <c r="CK26" s="597"/>
      <c r="CL26" s="597"/>
      <c r="CM26" s="597"/>
      <c r="CN26" s="597"/>
      <c r="CO26" s="597"/>
      <c r="CP26" s="597"/>
      <c r="CQ26" s="597"/>
      <c r="CR26" s="597"/>
      <c r="CS26" s="597"/>
      <c r="CT26" s="597"/>
      <c r="CU26" s="597"/>
      <c r="CV26" s="597"/>
      <c r="CW26" s="597"/>
      <c r="CX26" s="597"/>
      <c r="CY26" s="597"/>
      <c r="CZ26" s="597"/>
      <c r="DA26" s="597"/>
    </row>
    <row r="27" spans="1:109" s="202" customFormat="1" ht="27" customHeight="1" x14ac:dyDescent="0.2">
      <c r="A27" s="595" t="s">
        <v>539</v>
      </c>
      <c r="B27" s="595"/>
      <c r="C27" s="595"/>
      <c r="D27" s="595"/>
      <c r="E27" s="595"/>
      <c r="F27" s="595"/>
      <c r="G27" s="321"/>
      <c r="H27" s="610" t="s">
        <v>538</v>
      </c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0"/>
      <c r="AS27" s="610"/>
      <c r="AT27" s="610"/>
      <c r="AU27" s="610"/>
      <c r="AV27" s="610"/>
      <c r="AW27" s="610"/>
      <c r="AX27" s="610"/>
      <c r="AY27" s="610"/>
      <c r="AZ27" s="610"/>
      <c r="BA27" s="610"/>
      <c r="BB27" s="610"/>
      <c r="BC27" s="610"/>
      <c r="BD27" s="610"/>
      <c r="BE27" s="610"/>
      <c r="BF27" s="610"/>
      <c r="BG27" s="610"/>
      <c r="BH27" s="610"/>
      <c r="BI27" s="610"/>
      <c r="BJ27" s="610"/>
      <c r="BK27" s="610"/>
      <c r="BL27" s="610"/>
      <c r="BM27" s="610"/>
      <c r="BN27" s="610"/>
      <c r="BO27" s="610"/>
      <c r="BP27" s="610"/>
      <c r="BQ27" s="610"/>
      <c r="BR27" s="610"/>
      <c r="BS27" s="610"/>
      <c r="BT27" s="610"/>
      <c r="BU27" s="610"/>
      <c r="BV27" s="611"/>
      <c r="BW27" s="597"/>
      <c r="BX27" s="597"/>
      <c r="BY27" s="597"/>
      <c r="BZ27" s="597"/>
      <c r="CA27" s="597"/>
      <c r="CB27" s="597"/>
      <c r="CC27" s="597"/>
      <c r="CD27" s="597"/>
      <c r="CE27" s="597"/>
      <c r="CF27" s="597"/>
      <c r="CG27" s="597"/>
      <c r="CH27" s="597"/>
      <c r="CI27" s="597"/>
      <c r="CJ27" s="597"/>
      <c r="CK27" s="597"/>
      <c r="CL27" s="597"/>
      <c r="CM27" s="597"/>
      <c r="CN27" s="597"/>
      <c r="CO27" s="597"/>
      <c r="CP27" s="597"/>
      <c r="CQ27" s="597"/>
      <c r="CR27" s="597"/>
      <c r="CS27" s="597"/>
      <c r="CT27" s="597"/>
      <c r="CU27" s="597"/>
      <c r="CV27" s="597"/>
      <c r="CW27" s="597"/>
      <c r="CX27" s="597"/>
      <c r="CY27" s="597"/>
      <c r="CZ27" s="597"/>
      <c r="DA27" s="597"/>
    </row>
    <row r="28" spans="1:109" s="202" customFormat="1" ht="26.25" customHeight="1" x14ac:dyDescent="0.2">
      <c r="A28" s="595" t="s">
        <v>540</v>
      </c>
      <c r="B28" s="595"/>
      <c r="C28" s="595"/>
      <c r="D28" s="595"/>
      <c r="E28" s="595"/>
      <c r="F28" s="595"/>
      <c r="G28" s="321"/>
      <c r="H28" s="612" t="s">
        <v>541</v>
      </c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612"/>
      <c r="AN28" s="612"/>
      <c r="AO28" s="612"/>
      <c r="AP28" s="612"/>
      <c r="AQ28" s="612"/>
      <c r="AR28" s="612"/>
      <c r="AS28" s="612"/>
      <c r="AT28" s="612"/>
      <c r="AU28" s="612"/>
      <c r="AV28" s="612"/>
      <c r="AW28" s="612"/>
      <c r="AX28" s="612"/>
      <c r="AY28" s="612"/>
      <c r="AZ28" s="612"/>
      <c r="BA28" s="612"/>
      <c r="BB28" s="612"/>
      <c r="BC28" s="612"/>
      <c r="BD28" s="612"/>
      <c r="BE28" s="612"/>
      <c r="BF28" s="612"/>
      <c r="BG28" s="612"/>
      <c r="BH28" s="612"/>
      <c r="BI28" s="612"/>
      <c r="BJ28" s="612"/>
      <c r="BK28" s="612"/>
      <c r="BL28" s="612"/>
      <c r="BM28" s="612"/>
      <c r="BN28" s="612"/>
      <c r="BO28" s="612"/>
      <c r="BP28" s="612"/>
      <c r="BQ28" s="612"/>
      <c r="BR28" s="612"/>
      <c r="BS28" s="612"/>
      <c r="BT28" s="612"/>
      <c r="BU28" s="612"/>
      <c r="BV28" s="613"/>
      <c r="BW28" s="601">
        <f>BW17</f>
        <v>5211299.1500000004</v>
      </c>
      <c r="BX28" s="597"/>
      <c r="BY28" s="597"/>
      <c r="BZ28" s="597"/>
      <c r="CA28" s="597"/>
      <c r="CB28" s="597"/>
      <c r="CC28" s="597"/>
      <c r="CD28" s="597"/>
      <c r="CE28" s="597"/>
      <c r="CF28" s="597"/>
      <c r="CG28" s="597"/>
      <c r="CH28" s="597"/>
      <c r="CI28" s="597"/>
      <c r="CJ28" s="597"/>
      <c r="CK28" s="597"/>
      <c r="CL28" s="597"/>
      <c r="CM28" s="601">
        <f>BW28*5.1%</f>
        <v>265776.25665</v>
      </c>
      <c r="CN28" s="601"/>
      <c r="CO28" s="601"/>
      <c r="CP28" s="601"/>
      <c r="CQ28" s="601"/>
      <c r="CR28" s="601"/>
      <c r="CS28" s="601"/>
      <c r="CT28" s="601"/>
      <c r="CU28" s="601"/>
      <c r="CV28" s="601"/>
      <c r="CW28" s="601"/>
      <c r="CX28" s="601"/>
      <c r="CY28" s="601"/>
      <c r="CZ28" s="601"/>
      <c r="DA28" s="601"/>
    </row>
    <row r="29" spans="1:109" s="202" customFormat="1" ht="13.5" customHeight="1" x14ac:dyDescent="0.2">
      <c r="A29" s="595"/>
      <c r="B29" s="595"/>
      <c r="C29" s="595"/>
      <c r="D29" s="595"/>
      <c r="E29" s="595"/>
      <c r="F29" s="595"/>
      <c r="G29" s="643" t="s">
        <v>610</v>
      </c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6"/>
      <c r="BB29" s="606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7"/>
      <c r="BW29" s="597" t="s">
        <v>487</v>
      </c>
      <c r="BX29" s="597"/>
      <c r="BY29" s="597"/>
      <c r="BZ29" s="597"/>
      <c r="CA29" s="597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608">
        <v>1556436.35</v>
      </c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6"/>
      <c r="CZ29" s="646"/>
      <c r="DA29" s="646"/>
      <c r="DE29" s="202">
        <v>213</v>
      </c>
    </row>
    <row r="30" spans="1:109" ht="3" customHeight="1" x14ac:dyDescent="0.25"/>
    <row r="31" spans="1:109" s="315" customFormat="1" ht="28.5" customHeight="1" x14ac:dyDescent="0.2">
      <c r="A31" s="798" t="s">
        <v>674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8"/>
      <c r="AH31" s="798"/>
      <c r="AI31" s="798"/>
      <c r="AJ31" s="798"/>
      <c r="AK31" s="798"/>
      <c r="AL31" s="798"/>
      <c r="AM31" s="798"/>
      <c r="AN31" s="798"/>
      <c r="AO31" s="798"/>
      <c r="AP31" s="798"/>
      <c r="AQ31" s="798"/>
      <c r="AR31" s="798"/>
      <c r="AS31" s="798"/>
      <c r="AT31" s="798"/>
      <c r="AU31" s="798"/>
      <c r="AV31" s="798"/>
      <c r="AW31" s="798"/>
      <c r="AX31" s="798"/>
      <c r="AY31" s="798"/>
      <c r="AZ31" s="798"/>
      <c r="BA31" s="798"/>
      <c r="BB31" s="798"/>
      <c r="BC31" s="798"/>
      <c r="BD31" s="798"/>
      <c r="BE31" s="798"/>
      <c r="BF31" s="798"/>
      <c r="BG31" s="798"/>
      <c r="BH31" s="798"/>
      <c r="BI31" s="798"/>
      <c r="BJ31" s="798"/>
      <c r="BK31" s="798"/>
      <c r="BL31" s="798"/>
      <c r="BM31" s="798"/>
      <c r="BN31" s="798"/>
      <c r="BO31" s="798"/>
      <c r="BP31" s="798"/>
      <c r="BQ31" s="798"/>
      <c r="BR31" s="798"/>
      <c r="BS31" s="798"/>
      <c r="BT31" s="798"/>
      <c r="BU31" s="798"/>
      <c r="BV31" s="798"/>
      <c r="BW31" s="798"/>
      <c r="BX31" s="798"/>
      <c r="BY31" s="798"/>
      <c r="BZ31" s="798"/>
      <c r="CA31" s="798"/>
      <c r="CB31" s="798"/>
      <c r="CC31" s="798"/>
      <c r="CD31" s="798"/>
      <c r="CE31" s="798"/>
      <c r="CF31" s="798"/>
      <c r="CG31" s="798"/>
      <c r="CH31" s="798"/>
      <c r="CI31" s="798"/>
      <c r="CJ31" s="798"/>
      <c r="CK31" s="798"/>
      <c r="CL31" s="798"/>
      <c r="CM31" s="798"/>
      <c r="CN31" s="798"/>
      <c r="CO31" s="798"/>
      <c r="CP31" s="798"/>
      <c r="CQ31" s="798"/>
      <c r="CR31" s="798"/>
      <c r="CS31" s="798"/>
      <c r="CT31" s="798"/>
      <c r="CU31" s="798"/>
      <c r="CV31" s="798"/>
      <c r="CW31" s="798"/>
      <c r="CX31" s="798"/>
      <c r="CY31" s="798"/>
      <c r="CZ31" s="798"/>
      <c r="DA31" s="798"/>
      <c r="DE31" s="180" t="s">
        <v>671</v>
      </c>
    </row>
    <row r="32" spans="1:109" ht="10.5" customHeight="1" x14ac:dyDescent="0.25"/>
    <row r="33" spans="1:109" s="318" customFormat="1" ht="30" customHeight="1" x14ac:dyDescent="0.25">
      <c r="A33" s="592" t="s">
        <v>146</v>
      </c>
      <c r="B33" s="593"/>
      <c r="C33" s="593"/>
      <c r="D33" s="593"/>
      <c r="E33" s="593"/>
      <c r="F33" s="593"/>
      <c r="G33" s="594"/>
      <c r="H33" s="592" t="s">
        <v>617</v>
      </c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3"/>
      <c r="AL33" s="593"/>
      <c r="AM33" s="593"/>
      <c r="AN33" s="593"/>
      <c r="AO33" s="593"/>
      <c r="AP33" s="593"/>
      <c r="AQ33" s="593"/>
      <c r="AR33" s="593"/>
      <c r="AS33" s="593"/>
      <c r="AT33" s="593"/>
      <c r="AU33" s="593"/>
      <c r="AV33" s="593"/>
      <c r="AW33" s="593"/>
      <c r="AX33" s="593"/>
      <c r="AY33" s="593"/>
      <c r="AZ33" s="593"/>
      <c r="BA33" s="593"/>
      <c r="BB33" s="593"/>
      <c r="BC33" s="594"/>
      <c r="BD33" s="592" t="s">
        <v>2</v>
      </c>
      <c r="BE33" s="593"/>
      <c r="BF33" s="593"/>
      <c r="BG33" s="593"/>
      <c r="BH33" s="593"/>
      <c r="BI33" s="593"/>
      <c r="BJ33" s="593"/>
      <c r="BK33" s="593"/>
      <c r="BL33" s="593"/>
      <c r="BM33" s="593"/>
      <c r="BN33" s="593"/>
      <c r="BO33" s="593"/>
      <c r="BP33" s="593"/>
      <c r="BQ33" s="593"/>
      <c r="BR33" s="593"/>
      <c r="BS33" s="594"/>
      <c r="BT33" s="592" t="s">
        <v>652</v>
      </c>
      <c r="BU33" s="593"/>
      <c r="BV33" s="593"/>
      <c r="BW33" s="593"/>
      <c r="BX33" s="593"/>
      <c r="BY33" s="593"/>
      <c r="BZ33" s="593"/>
      <c r="CA33" s="593"/>
      <c r="CB33" s="593"/>
      <c r="CC33" s="593"/>
      <c r="CD33" s="593"/>
      <c r="CE33" s="593"/>
      <c r="CF33" s="593"/>
      <c r="CG33" s="593"/>
      <c r="CH33" s="593"/>
      <c r="CI33" s="594"/>
      <c r="CJ33" s="592" t="s">
        <v>653</v>
      </c>
      <c r="CK33" s="593"/>
      <c r="CL33" s="593"/>
      <c r="CM33" s="593"/>
      <c r="CN33" s="593"/>
      <c r="CO33" s="593"/>
      <c r="CP33" s="593"/>
      <c r="CQ33" s="593"/>
      <c r="CR33" s="593"/>
      <c r="CS33" s="593"/>
      <c r="CT33" s="593"/>
      <c r="CU33" s="593"/>
      <c r="CV33" s="593"/>
      <c r="CW33" s="593"/>
      <c r="CX33" s="593"/>
      <c r="CY33" s="593"/>
      <c r="CZ33" s="593"/>
      <c r="DA33" s="594"/>
    </row>
    <row r="34" spans="1:109" s="209" customFormat="1" ht="12.75" x14ac:dyDescent="0.25">
      <c r="A34" s="602"/>
      <c r="B34" s="602"/>
      <c r="C34" s="602"/>
      <c r="D34" s="602"/>
      <c r="E34" s="602"/>
      <c r="F34" s="602"/>
      <c r="G34" s="602"/>
      <c r="H34" s="602">
        <v>1</v>
      </c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602"/>
      <c r="AJ34" s="602"/>
      <c r="AK34" s="602"/>
      <c r="AL34" s="602"/>
      <c r="AM34" s="602"/>
      <c r="AN34" s="602"/>
      <c r="AO34" s="602"/>
      <c r="AP34" s="602"/>
      <c r="AQ34" s="602"/>
      <c r="AR34" s="602"/>
      <c r="AS34" s="602"/>
      <c r="AT34" s="602"/>
      <c r="AU34" s="602"/>
      <c r="AV34" s="602"/>
      <c r="AW34" s="602"/>
      <c r="AX34" s="602"/>
      <c r="AY34" s="602"/>
      <c r="AZ34" s="602"/>
      <c r="BA34" s="602"/>
      <c r="BB34" s="602"/>
      <c r="BC34" s="602"/>
      <c r="BD34" s="602">
        <v>2</v>
      </c>
      <c r="BE34" s="602"/>
      <c r="BF34" s="602"/>
      <c r="BG34" s="602"/>
      <c r="BH34" s="602"/>
      <c r="BI34" s="602"/>
      <c r="BJ34" s="602"/>
      <c r="BK34" s="602"/>
      <c r="BL34" s="602"/>
      <c r="BM34" s="602"/>
      <c r="BN34" s="602"/>
      <c r="BO34" s="602"/>
      <c r="BP34" s="602"/>
      <c r="BQ34" s="602"/>
      <c r="BR34" s="602"/>
      <c r="BS34" s="602"/>
      <c r="BT34" s="602">
        <v>3</v>
      </c>
      <c r="BU34" s="602"/>
      <c r="BV34" s="602"/>
      <c r="BW34" s="602"/>
      <c r="BX34" s="602"/>
      <c r="BY34" s="602"/>
      <c r="BZ34" s="602"/>
      <c r="CA34" s="602"/>
      <c r="CB34" s="602"/>
      <c r="CC34" s="602"/>
      <c r="CD34" s="602"/>
      <c r="CE34" s="602"/>
      <c r="CF34" s="602"/>
      <c r="CG34" s="602"/>
      <c r="CH34" s="602"/>
      <c r="CI34" s="602"/>
      <c r="CJ34" s="602">
        <v>4</v>
      </c>
      <c r="CK34" s="602"/>
      <c r="CL34" s="602"/>
      <c r="CM34" s="602"/>
      <c r="CN34" s="602"/>
      <c r="CO34" s="602"/>
      <c r="CP34" s="602"/>
      <c r="CQ34" s="602"/>
      <c r="CR34" s="602"/>
      <c r="CS34" s="602"/>
      <c r="CT34" s="602"/>
      <c r="CU34" s="602"/>
      <c r="CV34" s="602"/>
      <c r="CW34" s="602"/>
      <c r="CX34" s="602"/>
      <c r="CY34" s="602"/>
      <c r="CZ34" s="602"/>
      <c r="DA34" s="602"/>
    </row>
    <row r="35" spans="1:109" s="317" customFormat="1" ht="28.5" customHeight="1" x14ac:dyDescent="0.25">
      <c r="A35" s="595" t="s">
        <v>675</v>
      </c>
      <c r="B35" s="595"/>
      <c r="C35" s="595"/>
      <c r="D35" s="595"/>
      <c r="E35" s="595"/>
      <c r="F35" s="595"/>
      <c r="G35" s="595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596"/>
      <c r="AZ35" s="596"/>
      <c r="BA35" s="596"/>
      <c r="BB35" s="596"/>
      <c r="BC35" s="596"/>
      <c r="BD35" s="597"/>
      <c r="BE35" s="597"/>
      <c r="BF35" s="597"/>
      <c r="BG35" s="597"/>
      <c r="BH35" s="597"/>
      <c r="BI35" s="597"/>
      <c r="BJ35" s="597"/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  <c r="BX35" s="597"/>
      <c r="BY35" s="597"/>
      <c r="BZ35" s="597"/>
      <c r="CA35" s="597"/>
      <c r="CB35" s="597"/>
      <c r="CC35" s="597"/>
      <c r="CD35" s="597"/>
      <c r="CE35" s="597"/>
      <c r="CF35" s="597"/>
      <c r="CG35" s="597"/>
      <c r="CH35" s="597"/>
      <c r="CI35" s="597"/>
      <c r="CJ35" s="608"/>
      <c r="CK35" s="608"/>
      <c r="CL35" s="608"/>
      <c r="CM35" s="608"/>
      <c r="CN35" s="608"/>
      <c r="CO35" s="608"/>
      <c r="CP35" s="608"/>
      <c r="CQ35" s="608"/>
      <c r="CR35" s="608"/>
      <c r="CS35" s="608"/>
      <c r="CT35" s="608"/>
      <c r="CU35" s="608"/>
      <c r="CV35" s="608"/>
      <c r="CW35" s="608"/>
      <c r="CX35" s="608"/>
      <c r="CY35" s="608"/>
      <c r="CZ35" s="608"/>
      <c r="DA35" s="608"/>
    </row>
    <row r="36" spans="1:109" s="317" customFormat="1" ht="21.75" customHeight="1" x14ac:dyDescent="0.25">
      <c r="A36" s="595" t="s">
        <v>676</v>
      </c>
      <c r="B36" s="595"/>
      <c r="C36" s="595"/>
      <c r="D36" s="595"/>
      <c r="E36" s="595"/>
      <c r="F36" s="595"/>
      <c r="G36" s="595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7"/>
      <c r="BE36" s="597"/>
      <c r="BF36" s="597"/>
      <c r="BG36" s="597"/>
      <c r="BH36" s="597"/>
      <c r="BI36" s="597"/>
      <c r="BJ36" s="597"/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  <c r="BX36" s="597"/>
      <c r="BY36" s="597"/>
      <c r="BZ36" s="597"/>
      <c r="CA36" s="597"/>
      <c r="CB36" s="597"/>
      <c r="CC36" s="597"/>
      <c r="CD36" s="597"/>
      <c r="CE36" s="597"/>
      <c r="CF36" s="597"/>
      <c r="CG36" s="597"/>
      <c r="CH36" s="597"/>
      <c r="CI36" s="597"/>
      <c r="CJ36" s="601"/>
      <c r="CK36" s="601"/>
      <c r="CL36" s="601"/>
      <c r="CM36" s="601"/>
      <c r="CN36" s="601"/>
      <c r="CO36" s="601"/>
      <c r="CP36" s="601"/>
      <c r="CQ36" s="601"/>
      <c r="CR36" s="601"/>
      <c r="CS36" s="601"/>
      <c r="CT36" s="601"/>
      <c r="CU36" s="601"/>
      <c r="CV36" s="601"/>
      <c r="CW36" s="601"/>
      <c r="CX36" s="601"/>
      <c r="CY36" s="601"/>
      <c r="CZ36" s="601"/>
      <c r="DA36" s="601"/>
    </row>
    <row r="37" spans="1:109" s="317" customFormat="1" ht="25.5" customHeight="1" x14ac:dyDescent="0.25">
      <c r="A37" s="595" t="s">
        <v>677</v>
      </c>
      <c r="B37" s="595"/>
      <c r="C37" s="595"/>
      <c r="D37" s="595"/>
      <c r="E37" s="595"/>
      <c r="F37" s="595"/>
      <c r="G37" s="595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6"/>
      <c r="AS37" s="596"/>
      <c r="AT37" s="596"/>
      <c r="AU37" s="596"/>
      <c r="AV37" s="596"/>
      <c r="AW37" s="596"/>
      <c r="AX37" s="596"/>
      <c r="AY37" s="596"/>
      <c r="AZ37" s="596"/>
      <c r="BA37" s="596"/>
      <c r="BB37" s="596"/>
      <c r="BC37" s="596"/>
      <c r="BD37" s="597"/>
      <c r="BE37" s="597"/>
      <c r="BF37" s="597"/>
      <c r="BG37" s="597"/>
      <c r="BH37" s="597"/>
      <c r="BI37" s="597"/>
      <c r="BJ37" s="597"/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  <c r="BX37" s="597"/>
      <c r="BY37" s="597"/>
      <c r="BZ37" s="597"/>
      <c r="CA37" s="597"/>
      <c r="CB37" s="597"/>
      <c r="CC37" s="597"/>
      <c r="CD37" s="597"/>
      <c r="CE37" s="597"/>
      <c r="CF37" s="597"/>
      <c r="CG37" s="597"/>
      <c r="CH37" s="597"/>
      <c r="CI37" s="597"/>
      <c r="CJ37" s="608">
        <v>4799864.5</v>
      </c>
      <c r="CK37" s="608"/>
      <c r="CL37" s="608"/>
      <c r="CM37" s="608"/>
      <c r="CN37" s="608"/>
      <c r="CO37" s="608"/>
      <c r="CP37" s="608"/>
      <c r="CQ37" s="608"/>
      <c r="CR37" s="608"/>
      <c r="CS37" s="608"/>
      <c r="CT37" s="608"/>
      <c r="CU37" s="608"/>
      <c r="CV37" s="608"/>
      <c r="CW37" s="608"/>
      <c r="CX37" s="608"/>
      <c r="CY37" s="608"/>
      <c r="CZ37" s="608"/>
      <c r="DA37" s="608"/>
    </row>
    <row r="38" spans="1:109" s="317" customFormat="1" ht="15" customHeight="1" x14ac:dyDescent="0.25">
      <c r="A38" s="595" t="s">
        <v>678</v>
      </c>
      <c r="B38" s="595"/>
      <c r="C38" s="595"/>
      <c r="D38" s="595"/>
      <c r="E38" s="595"/>
      <c r="F38" s="595"/>
      <c r="G38" s="595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96"/>
      <c r="BB38" s="596"/>
      <c r="BC38" s="596"/>
      <c r="BD38" s="597"/>
      <c r="BE38" s="597"/>
      <c r="BF38" s="597"/>
      <c r="BG38" s="597"/>
      <c r="BH38" s="597"/>
      <c r="BI38" s="597"/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  <c r="BX38" s="597"/>
      <c r="BY38" s="597"/>
      <c r="BZ38" s="597"/>
      <c r="CA38" s="597"/>
      <c r="CB38" s="597"/>
      <c r="CC38" s="597"/>
      <c r="CD38" s="597"/>
      <c r="CE38" s="597"/>
      <c r="CF38" s="597"/>
      <c r="CG38" s="597"/>
      <c r="CH38" s="597"/>
      <c r="CI38" s="597"/>
      <c r="CJ38" s="608"/>
      <c r="CK38" s="608"/>
      <c r="CL38" s="608"/>
      <c r="CM38" s="608"/>
      <c r="CN38" s="608"/>
      <c r="CO38" s="608"/>
      <c r="CP38" s="608"/>
      <c r="CQ38" s="608"/>
      <c r="CR38" s="608"/>
      <c r="CS38" s="608"/>
      <c r="CT38" s="608"/>
      <c r="CU38" s="608"/>
      <c r="CV38" s="608"/>
      <c r="CW38" s="608"/>
      <c r="CX38" s="608"/>
      <c r="CY38" s="608"/>
      <c r="CZ38" s="608"/>
      <c r="DA38" s="608"/>
    </row>
    <row r="39" spans="1:109" s="317" customFormat="1" ht="15" customHeight="1" x14ac:dyDescent="0.25">
      <c r="A39" s="595" t="s">
        <v>679</v>
      </c>
      <c r="B39" s="595"/>
      <c r="C39" s="595"/>
      <c r="D39" s="595"/>
      <c r="E39" s="595"/>
      <c r="F39" s="595"/>
      <c r="G39" s="595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596"/>
      <c r="AU39" s="596"/>
      <c r="AV39" s="596"/>
      <c r="AW39" s="596"/>
      <c r="AX39" s="596"/>
      <c r="AY39" s="596"/>
      <c r="AZ39" s="596"/>
      <c r="BA39" s="596"/>
      <c r="BB39" s="596"/>
      <c r="BC39" s="596"/>
      <c r="BD39" s="597"/>
      <c r="BE39" s="597"/>
      <c r="BF39" s="597"/>
      <c r="BG39" s="597"/>
      <c r="BH39" s="597"/>
      <c r="BI39" s="597"/>
      <c r="BJ39" s="597"/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  <c r="BX39" s="597"/>
      <c r="BY39" s="597"/>
      <c r="BZ39" s="597"/>
      <c r="CA39" s="597"/>
      <c r="CB39" s="597"/>
      <c r="CC39" s="597"/>
      <c r="CD39" s="597"/>
      <c r="CE39" s="597"/>
      <c r="CF39" s="597"/>
      <c r="CG39" s="597"/>
      <c r="CH39" s="597"/>
      <c r="CI39" s="597"/>
      <c r="CJ39" s="608"/>
      <c r="CK39" s="608"/>
      <c r="CL39" s="608"/>
      <c r="CM39" s="608"/>
      <c r="CN39" s="608"/>
      <c r="CO39" s="608"/>
      <c r="CP39" s="608"/>
      <c r="CQ39" s="608"/>
      <c r="CR39" s="608"/>
      <c r="CS39" s="608"/>
      <c r="CT39" s="608"/>
      <c r="CU39" s="608"/>
      <c r="CV39" s="608"/>
      <c r="CW39" s="608"/>
      <c r="CX39" s="608"/>
      <c r="CY39" s="608"/>
      <c r="CZ39" s="608"/>
      <c r="DA39" s="608"/>
    </row>
    <row r="40" spans="1:109" s="317" customFormat="1" ht="26.25" customHeight="1" x14ac:dyDescent="0.25">
      <c r="A40" s="595" t="s">
        <v>680</v>
      </c>
      <c r="B40" s="595"/>
      <c r="C40" s="595"/>
      <c r="D40" s="595"/>
      <c r="E40" s="595"/>
      <c r="F40" s="595"/>
      <c r="G40" s="595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7"/>
      <c r="BE40" s="597"/>
      <c r="BF40" s="597"/>
      <c r="BG40" s="597"/>
      <c r="BH40" s="597"/>
      <c r="BI40" s="597"/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  <c r="BX40" s="597"/>
      <c r="BY40" s="597"/>
      <c r="BZ40" s="597"/>
      <c r="CA40" s="597"/>
      <c r="CB40" s="597"/>
      <c r="CC40" s="597"/>
      <c r="CD40" s="597"/>
      <c r="CE40" s="597"/>
      <c r="CF40" s="597"/>
      <c r="CG40" s="597"/>
      <c r="CH40" s="597"/>
      <c r="CI40" s="597"/>
      <c r="CJ40" s="608"/>
      <c r="CK40" s="608"/>
      <c r="CL40" s="608"/>
      <c r="CM40" s="608"/>
      <c r="CN40" s="608"/>
      <c r="CO40" s="608"/>
      <c r="CP40" s="608"/>
      <c r="CQ40" s="608"/>
      <c r="CR40" s="608"/>
      <c r="CS40" s="608"/>
      <c r="CT40" s="608"/>
      <c r="CU40" s="608"/>
      <c r="CV40" s="608"/>
      <c r="CW40" s="608"/>
      <c r="CX40" s="608"/>
      <c r="CY40" s="608"/>
      <c r="CZ40" s="608"/>
      <c r="DA40" s="608"/>
    </row>
    <row r="41" spans="1:109" s="317" customFormat="1" ht="31.5" customHeight="1" x14ac:dyDescent="0.25">
      <c r="A41" s="595"/>
      <c r="B41" s="595"/>
      <c r="C41" s="595"/>
      <c r="D41" s="595"/>
      <c r="E41" s="595"/>
      <c r="F41" s="595"/>
      <c r="G41" s="595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596"/>
      <c r="AK41" s="596"/>
      <c r="AL41" s="596"/>
      <c r="AM41" s="596"/>
      <c r="AN41" s="596"/>
      <c r="AO41" s="596"/>
      <c r="AP41" s="596"/>
      <c r="AQ41" s="596"/>
      <c r="AR41" s="596"/>
      <c r="AS41" s="596"/>
      <c r="AT41" s="596"/>
      <c r="AU41" s="596"/>
      <c r="AV41" s="596"/>
      <c r="AW41" s="596"/>
      <c r="AX41" s="596"/>
      <c r="AY41" s="596"/>
      <c r="AZ41" s="596"/>
      <c r="BA41" s="596"/>
      <c r="BB41" s="596"/>
      <c r="BC41" s="596"/>
      <c r="BD41" s="597"/>
      <c r="BE41" s="597"/>
      <c r="BF41" s="597"/>
      <c r="BG41" s="597"/>
      <c r="BH41" s="597"/>
      <c r="BI41" s="597"/>
      <c r="BJ41" s="597"/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  <c r="BX41" s="597"/>
      <c r="BY41" s="597"/>
      <c r="BZ41" s="597"/>
      <c r="CA41" s="597"/>
      <c r="CB41" s="597"/>
      <c r="CC41" s="597"/>
      <c r="CD41" s="597"/>
      <c r="CE41" s="597"/>
      <c r="CF41" s="597"/>
      <c r="CG41" s="597"/>
      <c r="CH41" s="597"/>
      <c r="CI41" s="597"/>
      <c r="CJ41" s="601"/>
      <c r="CK41" s="601"/>
      <c r="CL41" s="601"/>
      <c r="CM41" s="601"/>
      <c r="CN41" s="601"/>
      <c r="CO41" s="601"/>
      <c r="CP41" s="601"/>
      <c r="CQ41" s="601"/>
      <c r="CR41" s="601"/>
      <c r="CS41" s="601"/>
      <c r="CT41" s="601"/>
      <c r="CU41" s="601"/>
      <c r="CV41" s="601"/>
      <c r="CW41" s="601"/>
      <c r="CX41" s="601"/>
      <c r="CY41" s="601"/>
      <c r="CZ41" s="601"/>
      <c r="DA41" s="601"/>
    </row>
    <row r="42" spans="1:109" s="317" customFormat="1" ht="15" customHeight="1" x14ac:dyDescent="0.25">
      <c r="A42" s="595"/>
      <c r="B42" s="595"/>
      <c r="C42" s="595"/>
      <c r="D42" s="595"/>
      <c r="E42" s="595"/>
      <c r="F42" s="595"/>
      <c r="G42" s="595"/>
      <c r="H42" s="606" t="s">
        <v>610</v>
      </c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606"/>
      <c r="AZ42" s="606"/>
      <c r="BA42" s="606"/>
      <c r="BB42" s="606"/>
      <c r="BC42" s="607"/>
      <c r="BD42" s="597"/>
      <c r="BE42" s="597"/>
      <c r="BF42" s="597"/>
      <c r="BG42" s="597"/>
      <c r="BH42" s="597"/>
      <c r="BI42" s="597"/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 t="s">
        <v>487</v>
      </c>
      <c r="BU42" s="597"/>
      <c r="BV42" s="597"/>
      <c r="BW42" s="597"/>
      <c r="BX42" s="597"/>
      <c r="BY42" s="597"/>
      <c r="BZ42" s="597"/>
      <c r="CA42" s="597"/>
      <c r="CB42" s="597"/>
      <c r="CC42" s="597"/>
      <c r="CD42" s="597"/>
      <c r="CE42" s="597"/>
      <c r="CF42" s="597"/>
      <c r="CG42" s="597"/>
      <c r="CH42" s="597"/>
      <c r="CI42" s="597"/>
      <c r="CJ42" s="608">
        <f>CJ35+CJ36+CJ37+CJ38+CJ39+CJ40+CJ41</f>
        <v>4799864.5</v>
      </c>
      <c r="CK42" s="608"/>
      <c r="CL42" s="608"/>
      <c r="CM42" s="608"/>
      <c r="CN42" s="608"/>
      <c r="CO42" s="608"/>
      <c r="CP42" s="608"/>
      <c r="CQ42" s="608"/>
      <c r="CR42" s="608"/>
      <c r="CS42" s="608"/>
      <c r="CT42" s="608"/>
      <c r="CU42" s="608"/>
      <c r="CV42" s="608"/>
      <c r="CW42" s="608"/>
      <c r="CX42" s="608"/>
      <c r="CY42" s="608"/>
      <c r="CZ42" s="608"/>
      <c r="DA42" s="608"/>
      <c r="DE42" s="324">
        <f>CJ42+CM29+BW17+CJ9</f>
        <v>11567600</v>
      </c>
    </row>
    <row r="43" spans="1:109" s="317" customFormat="1" ht="15" customHeight="1" x14ac:dyDescent="0.25">
      <c r="A43" s="330"/>
      <c r="B43" s="330"/>
      <c r="C43" s="330"/>
      <c r="D43" s="330"/>
      <c r="E43" s="330"/>
      <c r="F43" s="330"/>
      <c r="G43" s="330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3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E43" s="324"/>
    </row>
    <row r="44" spans="1:109" s="315" customFormat="1" ht="14.25" hidden="1" x14ac:dyDescent="0.2">
      <c r="A44" s="609" t="s">
        <v>681</v>
      </c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09"/>
      <c r="AN44" s="609"/>
      <c r="AO44" s="609"/>
      <c r="AP44" s="609"/>
      <c r="AQ44" s="609"/>
      <c r="AR44" s="609"/>
      <c r="AS44" s="609"/>
      <c r="AT44" s="609"/>
      <c r="AU44" s="609"/>
      <c r="AV44" s="609"/>
      <c r="AW44" s="609"/>
      <c r="AX44" s="609"/>
      <c r="AY44" s="609"/>
      <c r="AZ44" s="609"/>
      <c r="BA44" s="609"/>
      <c r="BB44" s="609"/>
      <c r="BC44" s="609"/>
      <c r="BD44" s="609"/>
      <c r="BE44" s="609"/>
      <c r="BF44" s="609"/>
      <c r="BG44" s="609"/>
      <c r="BH44" s="609"/>
      <c r="BI44" s="609"/>
      <c r="BJ44" s="609"/>
      <c r="BK44" s="609"/>
      <c r="BL44" s="609"/>
      <c r="BM44" s="609"/>
      <c r="BN44" s="609"/>
      <c r="BO44" s="609"/>
      <c r="BP44" s="609"/>
      <c r="BQ44" s="609"/>
      <c r="BR44" s="609"/>
      <c r="BS44" s="609"/>
      <c r="BT44" s="609"/>
      <c r="BU44" s="609"/>
      <c r="BV44" s="609"/>
      <c r="BW44" s="609"/>
      <c r="BX44" s="609"/>
      <c r="BY44" s="609"/>
      <c r="BZ44" s="609"/>
      <c r="CA44" s="609"/>
      <c r="CB44" s="609"/>
      <c r="CC44" s="609"/>
      <c r="CD44" s="609"/>
      <c r="CE44" s="609"/>
      <c r="CF44" s="609"/>
      <c r="CG44" s="609"/>
      <c r="CH44" s="609"/>
      <c r="CI44" s="609"/>
      <c r="CJ44" s="609"/>
      <c r="CK44" s="609"/>
      <c r="CL44" s="609"/>
      <c r="CM44" s="609"/>
      <c r="CN44" s="609"/>
      <c r="CO44" s="609"/>
      <c r="CP44" s="609"/>
      <c r="CQ44" s="609"/>
      <c r="CR44" s="609"/>
      <c r="CS44" s="609"/>
      <c r="CT44" s="609"/>
      <c r="CU44" s="609"/>
      <c r="CV44" s="609"/>
      <c r="CW44" s="609"/>
      <c r="CX44" s="609"/>
      <c r="CY44" s="609"/>
      <c r="CZ44" s="609"/>
      <c r="DA44" s="609"/>
      <c r="DE44" s="180" t="s">
        <v>671</v>
      </c>
    </row>
    <row r="45" spans="1:109" ht="10.5" hidden="1" customHeight="1" x14ac:dyDescent="0.25"/>
    <row r="46" spans="1:109" s="318" customFormat="1" ht="45" hidden="1" customHeight="1" x14ac:dyDescent="0.25">
      <c r="A46" s="592" t="s">
        <v>146</v>
      </c>
      <c r="B46" s="593"/>
      <c r="C46" s="593"/>
      <c r="D46" s="593"/>
      <c r="E46" s="593"/>
      <c r="F46" s="593"/>
      <c r="G46" s="594"/>
      <c r="H46" s="592" t="s">
        <v>617</v>
      </c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3"/>
      <c r="Z46" s="593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3"/>
      <c r="AM46" s="593"/>
      <c r="AN46" s="593"/>
      <c r="AO46" s="593"/>
      <c r="AP46" s="593"/>
      <c r="AQ46" s="593"/>
      <c r="AR46" s="593"/>
      <c r="AS46" s="593"/>
      <c r="AT46" s="593"/>
      <c r="AU46" s="593"/>
      <c r="AV46" s="593"/>
      <c r="AW46" s="593"/>
      <c r="AX46" s="593"/>
      <c r="AY46" s="593"/>
      <c r="AZ46" s="593"/>
      <c r="BA46" s="593"/>
      <c r="BB46" s="593"/>
      <c r="BC46" s="594"/>
      <c r="BD46" s="592" t="s">
        <v>630</v>
      </c>
      <c r="BE46" s="593"/>
      <c r="BF46" s="593"/>
      <c r="BG46" s="593"/>
      <c r="BH46" s="593"/>
      <c r="BI46" s="593"/>
      <c r="BJ46" s="593"/>
      <c r="BK46" s="593"/>
      <c r="BL46" s="593"/>
      <c r="BM46" s="593"/>
      <c r="BN46" s="593"/>
      <c r="BO46" s="593"/>
      <c r="BP46" s="593"/>
      <c r="BQ46" s="593"/>
      <c r="BR46" s="593"/>
      <c r="BS46" s="594"/>
      <c r="BT46" s="592" t="s">
        <v>631</v>
      </c>
      <c r="BU46" s="593"/>
      <c r="BV46" s="593"/>
      <c r="BW46" s="593"/>
      <c r="BX46" s="593"/>
      <c r="BY46" s="593"/>
      <c r="BZ46" s="593"/>
      <c r="CA46" s="593"/>
      <c r="CB46" s="593"/>
      <c r="CC46" s="593"/>
      <c r="CD46" s="593"/>
      <c r="CE46" s="593"/>
      <c r="CF46" s="593"/>
      <c r="CG46" s="593"/>
      <c r="CH46" s="593"/>
      <c r="CI46" s="594"/>
      <c r="CJ46" s="592" t="s">
        <v>632</v>
      </c>
      <c r="CK46" s="593"/>
      <c r="CL46" s="593"/>
      <c r="CM46" s="593"/>
      <c r="CN46" s="593"/>
      <c r="CO46" s="593"/>
      <c r="CP46" s="593"/>
      <c r="CQ46" s="593"/>
      <c r="CR46" s="593"/>
      <c r="CS46" s="593"/>
      <c r="CT46" s="593"/>
      <c r="CU46" s="593"/>
      <c r="CV46" s="593"/>
      <c r="CW46" s="593"/>
      <c r="CX46" s="593"/>
      <c r="CY46" s="593"/>
      <c r="CZ46" s="593"/>
      <c r="DA46" s="594"/>
    </row>
    <row r="47" spans="1:109" s="209" customFormat="1" ht="12.75" hidden="1" x14ac:dyDescent="0.25">
      <c r="A47" s="602">
        <v>1</v>
      </c>
      <c r="B47" s="602"/>
      <c r="C47" s="602"/>
      <c r="D47" s="602"/>
      <c r="E47" s="602"/>
      <c r="F47" s="602"/>
      <c r="G47" s="602"/>
      <c r="H47" s="602">
        <v>2</v>
      </c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  <c r="AP47" s="602"/>
      <c r="AQ47" s="602"/>
      <c r="AR47" s="602"/>
      <c r="AS47" s="602"/>
      <c r="AT47" s="602"/>
      <c r="AU47" s="602"/>
      <c r="AV47" s="602"/>
      <c r="AW47" s="602"/>
      <c r="AX47" s="602"/>
      <c r="AY47" s="602"/>
      <c r="AZ47" s="602"/>
      <c r="BA47" s="602"/>
      <c r="BB47" s="602"/>
      <c r="BC47" s="602"/>
      <c r="BD47" s="602">
        <v>3</v>
      </c>
      <c r="BE47" s="602"/>
      <c r="BF47" s="602"/>
      <c r="BG47" s="602"/>
      <c r="BH47" s="602"/>
      <c r="BI47" s="602"/>
      <c r="BJ47" s="602"/>
      <c r="BK47" s="602"/>
      <c r="BL47" s="602"/>
      <c r="BM47" s="602"/>
      <c r="BN47" s="602"/>
      <c r="BO47" s="602"/>
      <c r="BP47" s="602"/>
      <c r="BQ47" s="602"/>
      <c r="BR47" s="602"/>
      <c r="BS47" s="602"/>
      <c r="BT47" s="602">
        <v>4</v>
      </c>
      <c r="BU47" s="602"/>
      <c r="BV47" s="602"/>
      <c r="BW47" s="602"/>
      <c r="BX47" s="602"/>
      <c r="BY47" s="602"/>
      <c r="BZ47" s="602"/>
      <c r="CA47" s="602"/>
      <c r="CB47" s="602"/>
      <c r="CC47" s="602"/>
      <c r="CD47" s="602"/>
      <c r="CE47" s="602"/>
      <c r="CF47" s="602"/>
      <c r="CG47" s="602"/>
      <c r="CH47" s="602"/>
      <c r="CI47" s="602"/>
      <c r="CJ47" s="602">
        <v>5</v>
      </c>
      <c r="CK47" s="602"/>
      <c r="CL47" s="602"/>
      <c r="CM47" s="602"/>
      <c r="CN47" s="602"/>
      <c r="CO47" s="602"/>
      <c r="CP47" s="602"/>
      <c r="CQ47" s="602"/>
      <c r="CR47" s="602"/>
      <c r="CS47" s="602"/>
      <c r="CT47" s="602"/>
      <c r="CU47" s="602"/>
      <c r="CV47" s="602"/>
      <c r="CW47" s="602"/>
      <c r="CX47" s="602"/>
      <c r="CY47" s="602"/>
      <c r="CZ47" s="602"/>
      <c r="DA47" s="602"/>
    </row>
    <row r="48" spans="1:109" s="317" customFormat="1" ht="15" hidden="1" customHeight="1" x14ac:dyDescent="0.25">
      <c r="A48" s="595"/>
      <c r="B48" s="595"/>
      <c r="C48" s="595"/>
      <c r="D48" s="595"/>
      <c r="E48" s="595"/>
      <c r="F48" s="595"/>
      <c r="G48" s="595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  <c r="BX48" s="597"/>
      <c r="BY48" s="597"/>
      <c r="BZ48" s="597"/>
      <c r="CA48" s="597"/>
      <c r="CB48" s="597"/>
      <c r="CC48" s="597"/>
      <c r="CD48" s="597"/>
      <c r="CE48" s="597"/>
      <c r="CF48" s="597"/>
      <c r="CG48" s="597"/>
      <c r="CH48" s="597"/>
      <c r="CI48" s="597"/>
      <c r="CJ48" s="597"/>
      <c r="CK48" s="597"/>
      <c r="CL48" s="597"/>
      <c r="CM48" s="597"/>
      <c r="CN48" s="597"/>
      <c r="CO48" s="597"/>
      <c r="CP48" s="597"/>
      <c r="CQ48" s="597"/>
      <c r="CR48" s="597"/>
      <c r="CS48" s="597"/>
      <c r="CT48" s="597"/>
      <c r="CU48" s="597"/>
      <c r="CV48" s="597"/>
      <c r="CW48" s="597"/>
      <c r="CX48" s="597"/>
      <c r="CY48" s="597"/>
      <c r="CZ48" s="597"/>
      <c r="DA48" s="597"/>
    </row>
    <row r="49" spans="1:109" s="317" customFormat="1" ht="15" hidden="1" customHeight="1" x14ac:dyDescent="0.25">
      <c r="A49" s="595"/>
      <c r="B49" s="595"/>
      <c r="C49" s="595"/>
      <c r="D49" s="595"/>
      <c r="E49" s="595"/>
      <c r="F49" s="595"/>
      <c r="G49" s="595"/>
      <c r="H49" s="596"/>
      <c r="I49" s="596"/>
      <c r="J49" s="596"/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596"/>
      <c r="Y49" s="596"/>
      <c r="Z49" s="596"/>
      <c r="AA49" s="596"/>
      <c r="AB49" s="596"/>
      <c r="AC49" s="596"/>
      <c r="AD49" s="596"/>
      <c r="AE49" s="596"/>
      <c r="AF49" s="596"/>
      <c r="AG49" s="596"/>
      <c r="AH49" s="596"/>
      <c r="AI49" s="596"/>
      <c r="AJ49" s="596"/>
      <c r="AK49" s="596"/>
      <c r="AL49" s="596"/>
      <c r="AM49" s="596"/>
      <c r="AN49" s="596"/>
      <c r="AO49" s="596"/>
      <c r="AP49" s="596"/>
      <c r="AQ49" s="596"/>
      <c r="AR49" s="596"/>
      <c r="AS49" s="596"/>
      <c r="AT49" s="596"/>
      <c r="AU49" s="596"/>
      <c r="AV49" s="596"/>
      <c r="AW49" s="596"/>
      <c r="AX49" s="596"/>
      <c r="AY49" s="596"/>
      <c r="AZ49" s="596"/>
      <c r="BA49" s="596"/>
      <c r="BB49" s="596"/>
      <c r="BC49" s="596"/>
      <c r="BD49" s="597"/>
      <c r="BE49" s="597"/>
      <c r="BF49" s="597"/>
      <c r="BG49" s="597"/>
      <c r="BH49" s="597"/>
      <c r="BI49" s="597"/>
      <c r="BJ49" s="597"/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  <c r="BX49" s="597"/>
      <c r="BY49" s="597"/>
      <c r="BZ49" s="597"/>
      <c r="CA49" s="597"/>
      <c r="CB49" s="597"/>
      <c r="CC49" s="597"/>
      <c r="CD49" s="597"/>
      <c r="CE49" s="597"/>
      <c r="CF49" s="597"/>
      <c r="CG49" s="597"/>
      <c r="CH49" s="597"/>
      <c r="CI49" s="597"/>
      <c r="CJ49" s="597"/>
      <c r="CK49" s="597"/>
      <c r="CL49" s="597"/>
      <c r="CM49" s="597"/>
      <c r="CN49" s="597"/>
      <c r="CO49" s="597"/>
      <c r="CP49" s="597"/>
      <c r="CQ49" s="597"/>
      <c r="CR49" s="597"/>
      <c r="CS49" s="597"/>
      <c r="CT49" s="597"/>
      <c r="CU49" s="597"/>
      <c r="CV49" s="597"/>
      <c r="CW49" s="597"/>
      <c r="CX49" s="597"/>
      <c r="CY49" s="597"/>
      <c r="CZ49" s="597"/>
      <c r="DA49" s="597"/>
    </row>
    <row r="50" spans="1:109" s="317" customFormat="1" ht="15" hidden="1" customHeight="1" x14ac:dyDescent="0.25">
      <c r="A50" s="595"/>
      <c r="B50" s="595"/>
      <c r="C50" s="595"/>
      <c r="D50" s="595"/>
      <c r="E50" s="595"/>
      <c r="F50" s="595"/>
      <c r="G50" s="595"/>
      <c r="H50" s="606" t="s">
        <v>610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6"/>
      <c r="T50" s="606"/>
      <c r="U50" s="606"/>
      <c r="V50" s="606"/>
      <c r="W50" s="606"/>
      <c r="X50" s="606"/>
      <c r="Y50" s="606"/>
      <c r="Z50" s="606"/>
      <c r="AA50" s="606"/>
      <c r="AB50" s="606"/>
      <c r="AC50" s="606"/>
      <c r="AD50" s="606"/>
      <c r="AE50" s="606"/>
      <c r="AF50" s="606"/>
      <c r="AG50" s="606"/>
      <c r="AH50" s="606"/>
      <c r="AI50" s="606"/>
      <c r="AJ50" s="606"/>
      <c r="AK50" s="606"/>
      <c r="AL50" s="606"/>
      <c r="AM50" s="606"/>
      <c r="AN50" s="606"/>
      <c r="AO50" s="606"/>
      <c r="AP50" s="606"/>
      <c r="AQ50" s="606"/>
      <c r="AR50" s="606"/>
      <c r="AS50" s="606"/>
      <c r="AT50" s="606"/>
      <c r="AU50" s="606"/>
      <c r="AV50" s="606"/>
      <c r="AW50" s="606"/>
      <c r="AX50" s="606"/>
      <c r="AY50" s="606"/>
      <c r="AZ50" s="606"/>
      <c r="BA50" s="606"/>
      <c r="BB50" s="606"/>
      <c r="BC50" s="607"/>
      <c r="BD50" s="597"/>
      <c r="BE50" s="597"/>
      <c r="BF50" s="597"/>
      <c r="BG50" s="597"/>
      <c r="BH50" s="597"/>
      <c r="BI50" s="597"/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  <c r="BX50" s="597"/>
      <c r="BY50" s="597"/>
      <c r="BZ50" s="597"/>
      <c r="CA50" s="597"/>
      <c r="CB50" s="597"/>
      <c r="CC50" s="597"/>
      <c r="CD50" s="597"/>
      <c r="CE50" s="597"/>
      <c r="CF50" s="597"/>
      <c r="CG50" s="597"/>
      <c r="CH50" s="597"/>
      <c r="CI50" s="597"/>
      <c r="CJ50" s="646"/>
      <c r="CK50" s="646"/>
      <c r="CL50" s="646"/>
      <c r="CM50" s="646"/>
      <c r="CN50" s="646"/>
      <c r="CO50" s="646"/>
      <c r="CP50" s="646"/>
      <c r="CQ50" s="646"/>
      <c r="CR50" s="646"/>
      <c r="CS50" s="646"/>
      <c r="CT50" s="646"/>
      <c r="CU50" s="646"/>
      <c r="CV50" s="646"/>
      <c r="CW50" s="646"/>
      <c r="CX50" s="646"/>
      <c r="CY50" s="646"/>
      <c r="CZ50" s="646"/>
      <c r="DA50" s="646"/>
      <c r="DE50" s="317">
        <v>222</v>
      </c>
    </row>
    <row r="51" spans="1:109" s="317" customFormat="1" ht="15" customHeight="1" x14ac:dyDescent="0.25">
      <c r="A51" s="334"/>
      <c r="B51" s="334"/>
      <c r="C51" s="334"/>
      <c r="D51" s="334"/>
      <c r="E51" s="334"/>
      <c r="F51" s="334"/>
      <c r="G51" s="334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7"/>
      <c r="CK51" s="337"/>
      <c r="CL51" s="337"/>
      <c r="CM51" s="337"/>
      <c r="CN51" s="337"/>
      <c r="CO51" s="337"/>
      <c r="CP51" s="337"/>
      <c r="CQ51" s="337"/>
      <c r="CR51" s="337"/>
      <c r="CS51" s="337"/>
      <c r="CT51" s="337"/>
      <c r="CU51" s="337"/>
      <c r="CV51" s="337"/>
      <c r="CW51" s="337"/>
      <c r="CX51" s="337"/>
      <c r="CY51" s="337"/>
      <c r="CZ51" s="337"/>
      <c r="DA51" s="337"/>
    </row>
    <row r="52" spans="1:109" s="315" customFormat="1" ht="64.5" hidden="1" customHeight="1" x14ac:dyDescent="0.2">
      <c r="A52" s="799" t="s">
        <v>682</v>
      </c>
      <c r="B52" s="799"/>
      <c r="C52" s="799"/>
      <c r="D52" s="799"/>
      <c r="E52" s="799"/>
      <c r="F52" s="799"/>
      <c r="G52" s="799"/>
      <c r="H52" s="799"/>
      <c r="I52" s="799"/>
      <c r="J52" s="799"/>
      <c r="K52" s="799"/>
      <c r="L52" s="799"/>
      <c r="M52" s="799"/>
      <c r="N52" s="799"/>
      <c r="O52" s="799"/>
      <c r="P52" s="799"/>
      <c r="Q52" s="799"/>
      <c r="R52" s="799"/>
      <c r="S52" s="799"/>
      <c r="T52" s="799"/>
      <c r="U52" s="799"/>
      <c r="V52" s="799"/>
      <c r="W52" s="799"/>
      <c r="X52" s="799"/>
      <c r="Y52" s="799"/>
      <c r="Z52" s="799"/>
      <c r="AA52" s="799"/>
      <c r="AB52" s="799"/>
      <c r="AC52" s="799"/>
      <c r="AD52" s="799"/>
      <c r="AE52" s="799"/>
      <c r="AF52" s="799"/>
      <c r="AG52" s="799"/>
      <c r="AH52" s="799"/>
      <c r="AI52" s="799"/>
      <c r="AJ52" s="799"/>
      <c r="AK52" s="799"/>
      <c r="AL52" s="799"/>
      <c r="AM52" s="799"/>
      <c r="AN52" s="799"/>
      <c r="AO52" s="799"/>
      <c r="AP52" s="799"/>
      <c r="AQ52" s="799"/>
      <c r="AR52" s="799"/>
      <c r="AS52" s="799"/>
      <c r="AT52" s="799"/>
      <c r="AU52" s="799"/>
      <c r="AV52" s="799"/>
      <c r="AW52" s="799"/>
      <c r="AX52" s="799"/>
      <c r="AY52" s="799"/>
      <c r="AZ52" s="799"/>
      <c r="BA52" s="799"/>
      <c r="BB52" s="799"/>
      <c r="BC52" s="799"/>
      <c r="BD52" s="799"/>
      <c r="BE52" s="799"/>
      <c r="BF52" s="799"/>
      <c r="BG52" s="799"/>
      <c r="BH52" s="799"/>
      <c r="BI52" s="799"/>
      <c r="BJ52" s="799"/>
      <c r="BK52" s="799"/>
      <c r="BL52" s="799"/>
      <c r="BM52" s="799"/>
      <c r="BN52" s="799"/>
      <c r="BO52" s="799"/>
      <c r="BP52" s="799"/>
      <c r="BQ52" s="799"/>
      <c r="BR52" s="799"/>
      <c r="BS52" s="799"/>
      <c r="BT52" s="799"/>
      <c r="BU52" s="799"/>
      <c r="BV52" s="799"/>
      <c r="BW52" s="799"/>
      <c r="BX52" s="799"/>
      <c r="BY52" s="799"/>
      <c r="BZ52" s="799"/>
      <c r="CA52" s="799"/>
      <c r="CB52" s="799"/>
      <c r="CC52" s="799"/>
      <c r="CD52" s="799"/>
      <c r="CE52" s="799"/>
      <c r="CF52" s="799"/>
      <c r="CG52" s="799"/>
      <c r="CH52" s="799"/>
      <c r="CI52" s="799"/>
      <c r="CJ52" s="799"/>
      <c r="CK52" s="799"/>
      <c r="CL52" s="799"/>
      <c r="CM52" s="799"/>
      <c r="CN52" s="799"/>
      <c r="CO52" s="799"/>
      <c r="CP52" s="799"/>
      <c r="CQ52" s="799"/>
      <c r="CR52" s="799"/>
      <c r="CS52" s="799"/>
      <c r="CT52" s="799"/>
      <c r="CU52" s="799"/>
      <c r="CV52" s="799"/>
      <c r="CW52" s="799"/>
      <c r="CX52" s="799"/>
      <c r="CY52" s="799"/>
      <c r="CZ52" s="799"/>
      <c r="DA52" s="799"/>
      <c r="DE52" s="202" t="s">
        <v>683</v>
      </c>
    </row>
    <row r="53" spans="1:109" ht="10.5" hidden="1" customHeight="1" x14ac:dyDescent="0.25"/>
    <row r="54" spans="1:109" ht="55.5" hidden="1" customHeight="1" x14ac:dyDescent="0.25">
      <c r="A54" s="592" t="s">
        <v>146</v>
      </c>
      <c r="B54" s="593"/>
      <c r="C54" s="593"/>
      <c r="D54" s="593"/>
      <c r="E54" s="593"/>
      <c r="F54" s="594"/>
      <c r="G54" s="592" t="s">
        <v>518</v>
      </c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3"/>
      <c r="AE54" s="593"/>
      <c r="AF54" s="593"/>
      <c r="AG54" s="593"/>
      <c r="AH54" s="593"/>
      <c r="AI54" s="593"/>
      <c r="AJ54" s="593"/>
      <c r="AK54" s="593"/>
      <c r="AL54" s="593"/>
      <c r="AM54" s="593"/>
      <c r="AN54" s="593"/>
      <c r="AO54" s="593"/>
      <c r="AP54" s="593"/>
      <c r="AQ54" s="593"/>
      <c r="AR54" s="593"/>
      <c r="AS54" s="593"/>
      <c r="AT54" s="593"/>
      <c r="AU54" s="593"/>
      <c r="AV54" s="593"/>
      <c r="AW54" s="593"/>
      <c r="AX54" s="593"/>
      <c r="AY54" s="593"/>
      <c r="AZ54" s="593"/>
      <c r="BA54" s="593"/>
      <c r="BB54" s="593"/>
      <c r="BC54" s="593"/>
      <c r="BD54" s="593"/>
      <c r="BE54" s="593"/>
      <c r="BF54" s="593"/>
      <c r="BG54" s="593"/>
      <c r="BH54" s="593"/>
      <c r="BI54" s="593"/>
      <c r="BJ54" s="593"/>
      <c r="BK54" s="593"/>
      <c r="BL54" s="593"/>
      <c r="BM54" s="593"/>
      <c r="BN54" s="593"/>
      <c r="BO54" s="593"/>
      <c r="BP54" s="593"/>
      <c r="BQ54" s="593"/>
      <c r="BR54" s="593"/>
      <c r="BS54" s="593"/>
      <c r="BT54" s="593"/>
      <c r="BU54" s="593"/>
      <c r="BV54" s="594"/>
      <c r="BW54" s="592" t="s">
        <v>519</v>
      </c>
      <c r="BX54" s="593"/>
      <c r="BY54" s="593"/>
      <c r="BZ54" s="593"/>
      <c r="CA54" s="593"/>
      <c r="CB54" s="593"/>
      <c r="CC54" s="593"/>
      <c r="CD54" s="593"/>
      <c r="CE54" s="593"/>
      <c r="CF54" s="593"/>
      <c r="CG54" s="593"/>
      <c r="CH54" s="593"/>
      <c r="CI54" s="593"/>
      <c r="CJ54" s="593"/>
      <c r="CK54" s="593"/>
      <c r="CL54" s="594"/>
      <c r="CM54" s="592" t="s">
        <v>520</v>
      </c>
      <c r="CN54" s="593"/>
      <c r="CO54" s="593"/>
      <c r="CP54" s="593"/>
      <c r="CQ54" s="593"/>
      <c r="CR54" s="593"/>
      <c r="CS54" s="593"/>
      <c r="CT54" s="593"/>
      <c r="CU54" s="593"/>
      <c r="CV54" s="593"/>
      <c r="CW54" s="593"/>
      <c r="CX54" s="593"/>
      <c r="CY54" s="593"/>
      <c r="CZ54" s="593"/>
      <c r="DA54" s="594"/>
      <c r="DE54" s="338" t="s">
        <v>684</v>
      </c>
    </row>
    <row r="55" spans="1:109" s="202" customFormat="1" ht="12.75" hidden="1" x14ac:dyDescent="0.2">
      <c r="A55" s="602">
        <v>1</v>
      </c>
      <c r="B55" s="602"/>
      <c r="C55" s="602"/>
      <c r="D55" s="602"/>
      <c r="E55" s="602"/>
      <c r="F55" s="602"/>
      <c r="G55" s="602">
        <v>2</v>
      </c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2"/>
      <c r="AS55" s="602"/>
      <c r="AT55" s="602"/>
      <c r="AU55" s="602"/>
      <c r="AV55" s="602"/>
      <c r="AW55" s="602"/>
      <c r="AX55" s="602"/>
      <c r="AY55" s="602"/>
      <c r="AZ55" s="602"/>
      <c r="BA55" s="602"/>
      <c r="BB55" s="602"/>
      <c r="BC55" s="602"/>
      <c r="BD55" s="602"/>
      <c r="BE55" s="602"/>
      <c r="BF55" s="602"/>
      <c r="BG55" s="602"/>
      <c r="BH55" s="602"/>
      <c r="BI55" s="602"/>
      <c r="BJ55" s="602"/>
      <c r="BK55" s="602"/>
      <c r="BL55" s="602"/>
      <c r="BM55" s="602"/>
      <c r="BN55" s="602"/>
      <c r="BO55" s="602"/>
      <c r="BP55" s="602"/>
      <c r="BQ55" s="602"/>
      <c r="BR55" s="602"/>
      <c r="BS55" s="602"/>
      <c r="BT55" s="602"/>
      <c r="BU55" s="602"/>
      <c r="BV55" s="602"/>
      <c r="BW55" s="602">
        <v>3</v>
      </c>
      <c r="BX55" s="602"/>
      <c r="BY55" s="602"/>
      <c r="BZ55" s="602"/>
      <c r="CA55" s="602"/>
      <c r="CB55" s="602"/>
      <c r="CC55" s="602"/>
      <c r="CD55" s="602"/>
      <c r="CE55" s="602"/>
      <c r="CF55" s="602"/>
      <c r="CG55" s="602"/>
      <c r="CH55" s="602"/>
      <c r="CI55" s="602"/>
      <c r="CJ55" s="602"/>
      <c r="CK55" s="602"/>
      <c r="CL55" s="602"/>
      <c r="CM55" s="602">
        <v>4</v>
      </c>
      <c r="CN55" s="602"/>
      <c r="CO55" s="602"/>
      <c r="CP55" s="602"/>
      <c r="CQ55" s="602"/>
      <c r="CR55" s="602"/>
      <c r="CS55" s="602"/>
      <c r="CT55" s="602"/>
      <c r="CU55" s="602"/>
      <c r="CV55" s="602"/>
      <c r="CW55" s="602"/>
      <c r="CX55" s="602"/>
      <c r="CY55" s="602"/>
      <c r="CZ55" s="602"/>
      <c r="DA55" s="602"/>
    </row>
    <row r="56" spans="1:109" ht="15" hidden="1" customHeight="1" x14ac:dyDescent="0.25">
      <c r="A56" s="595" t="s">
        <v>521</v>
      </c>
      <c r="B56" s="595"/>
      <c r="C56" s="595"/>
      <c r="D56" s="595"/>
      <c r="E56" s="595"/>
      <c r="F56" s="595"/>
      <c r="G56" s="321"/>
      <c r="H56" s="612" t="s">
        <v>522</v>
      </c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612"/>
      <c r="W56" s="612"/>
      <c r="X56" s="612"/>
      <c r="Y56" s="612"/>
      <c r="Z56" s="612"/>
      <c r="AA56" s="612"/>
      <c r="AB56" s="612"/>
      <c r="AC56" s="612"/>
      <c r="AD56" s="612"/>
      <c r="AE56" s="612"/>
      <c r="AF56" s="612"/>
      <c r="AG56" s="612"/>
      <c r="AH56" s="612"/>
      <c r="AI56" s="612"/>
      <c r="AJ56" s="612"/>
      <c r="AK56" s="612"/>
      <c r="AL56" s="612"/>
      <c r="AM56" s="612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  <c r="BA56" s="612"/>
      <c r="BB56" s="612"/>
      <c r="BC56" s="612"/>
      <c r="BD56" s="612"/>
      <c r="BE56" s="612"/>
      <c r="BF56" s="612"/>
      <c r="BG56" s="612"/>
      <c r="BH56" s="612"/>
      <c r="BI56" s="612"/>
      <c r="BJ56" s="612"/>
      <c r="BK56" s="612"/>
      <c r="BL56" s="612"/>
      <c r="BM56" s="612"/>
      <c r="BN56" s="612"/>
      <c r="BO56" s="612"/>
      <c r="BP56" s="612"/>
      <c r="BQ56" s="612"/>
      <c r="BR56" s="612"/>
      <c r="BS56" s="612"/>
      <c r="BT56" s="612"/>
      <c r="BU56" s="612"/>
      <c r="BV56" s="613"/>
      <c r="BW56" s="597" t="s">
        <v>487</v>
      </c>
      <c r="BX56" s="597"/>
      <c r="BY56" s="597"/>
      <c r="BZ56" s="597"/>
      <c r="CA56" s="597"/>
      <c r="CB56" s="597"/>
      <c r="CC56" s="597"/>
      <c r="CD56" s="597"/>
      <c r="CE56" s="597"/>
      <c r="CF56" s="597"/>
      <c r="CG56" s="597"/>
      <c r="CH56" s="597"/>
      <c r="CI56" s="597"/>
      <c r="CJ56" s="597"/>
      <c r="CK56" s="597"/>
      <c r="CL56" s="597"/>
      <c r="CM56" s="597"/>
      <c r="CN56" s="597"/>
      <c r="CO56" s="597"/>
      <c r="CP56" s="597"/>
      <c r="CQ56" s="597"/>
      <c r="CR56" s="597"/>
      <c r="CS56" s="597"/>
      <c r="CT56" s="597"/>
      <c r="CU56" s="597"/>
      <c r="CV56" s="597"/>
      <c r="CW56" s="597"/>
      <c r="CX56" s="597"/>
      <c r="CY56" s="597"/>
      <c r="CZ56" s="597"/>
      <c r="DA56" s="597"/>
    </row>
    <row r="57" spans="1:109" s="202" customFormat="1" ht="12.75" hidden="1" x14ac:dyDescent="0.2">
      <c r="A57" s="614" t="s">
        <v>523</v>
      </c>
      <c r="B57" s="615"/>
      <c r="C57" s="615"/>
      <c r="D57" s="615"/>
      <c r="E57" s="615"/>
      <c r="F57" s="616"/>
      <c r="G57" s="322"/>
      <c r="H57" s="620" t="s">
        <v>215</v>
      </c>
      <c r="I57" s="620"/>
      <c r="J57" s="620"/>
      <c r="K57" s="620"/>
      <c r="L57" s="620"/>
      <c r="M57" s="620"/>
      <c r="N57" s="620"/>
      <c r="O57" s="620"/>
      <c r="P57" s="620"/>
      <c r="Q57" s="620"/>
      <c r="R57" s="620"/>
      <c r="S57" s="620"/>
      <c r="T57" s="620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0"/>
      <c r="AF57" s="620"/>
      <c r="AG57" s="620"/>
      <c r="AH57" s="620"/>
      <c r="AI57" s="620"/>
      <c r="AJ57" s="620"/>
      <c r="AK57" s="620"/>
      <c r="AL57" s="620"/>
      <c r="AM57" s="620"/>
      <c r="AN57" s="620"/>
      <c r="AO57" s="620"/>
      <c r="AP57" s="620"/>
      <c r="AQ57" s="620"/>
      <c r="AR57" s="620"/>
      <c r="AS57" s="620"/>
      <c r="AT57" s="620"/>
      <c r="AU57" s="620"/>
      <c r="AV57" s="620"/>
      <c r="AW57" s="620"/>
      <c r="AX57" s="620"/>
      <c r="AY57" s="620"/>
      <c r="AZ57" s="620"/>
      <c r="BA57" s="620"/>
      <c r="BB57" s="620"/>
      <c r="BC57" s="620"/>
      <c r="BD57" s="620"/>
      <c r="BE57" s="620"/>
      <c r="BF57" s="620"/>
      <c r="BG57" s="620"/>
      <c r="BH57" s="620"/>
      <c r="BI57" s="620"/>
      <c r="BJ57" s="620"/>
      <c r="BK57" s="620"/>
      <c r="BL57" s="620"/>
      <c r="BM57" s="620"/>
      <c r="BN57" s="620"/>
      <c r="BO57" s="620"/>
      <c r="BP57" s="620"/>
      <c r="BQ57" s="620"/>
      <c r="BR57" s="620"/>
      <c r="BS57" s="620"/>
      <c r="BT57" s="620"/>
      <c r="BU57" s="620"/>
      <c r="BV57" s="621"/>
      <c r="BW57" s="792">
        <v>0</v>
      </c>
      <c r="BX57" s="793"/>
      <c r="BY57" s="793"/>
      <c r="BZ57" s="793"/>
      <c r="CA57" s="793"/>
      <c r="CB57" s="793"/>
      <c r="CC57" s="793"/>
      <c r="CD57" s="793"/>
      <c r="CE57" s="793"/>
      <c r="CF57" s="793"/>
      <c r="CG57" s="793"/>
      <c r="CH57" s="793"/>
      <c r="CI57" s="793"/>
      <c r="CJ57" s="793"/>
      <c r="CK57" s="793"/>
      <c r="CL57" s="794"/>
      <c r="CM57" s="628">
        <f>BW57*22%</f>
        <v>0</v>
      </c>
      <c r="CN57" s="629"/>
      <c r="CO57" s="629"/>
      <c r="CP57" s="629"/>
      <c r="CQ57" s="629"/>
      <c r="CR57" s="629"/>
      <c r="CS57" s="629"/>
      <c r="CT57" s="629"/>
      <c r="CU57" s="629"/>
      <c r="CV57" s="629"/>
      <c r="CW57" s="629"/>
      <c r="CX57" s="629"/>
      <c r="CY57" s="629"/>
      <c r="CZ57" s="629"/>
      <c r="DA57" s="630"/>
    </row>
    <row r="58" spans="1:109" s="202" customFormat="1" ht="12.75" hidden="1" x14ac:dyDescent="0.2">
      <c r="A58" s="617"/>
      <c r="B58" s="618"/>
      <c r="C58" s="618"/>
      <c r="D58" s="618"/>
      <c r="E58" s="618"/>
      <c r="F58" s="619"/>
      <c r="G58" s="323"/>
      <c r="H58" s="634" t="s">
        <v>524</v>
      </c>
      <c r="I58" s="634"/>
      <c r="J58" s="634"/>
      <c r="K58" s="634"/>
      <c r="L58" s="634"/>
      <c r="M58" s="634"/>
      <c r="N58" s="634"/>
      <c r="O58" s="634"/>
      <c r="P58" s="634"/>
      <c r="Q58" s="634"/>
      <c r="R58" s="634"/>
      <c r="S58" s="634"/>
      <c r="T58" s="634"/>
      <c r="U58" s="634"/>
      <c r="V58" s="634"/>
      <c r="W58" s="634"/>
      <c r="X58" s="634"/>
      <c r="Y58" s="634"/>
      <c r="Z58" s="634"/>
      <c r="AA58" s="634"/>
      <c r="AB58" s="634"/>
      <c r="AC58" s="634"/>
      <c r="AD58" s="634"/>
      <c r="AE58" s="634"/>
      <c r="AF58" s="634"/>
      <c r="AG58" s="634"/>
      <c r="AH58" s="634"/>
      <c r="AI58" s="634"/>
      <c r="AJ58" s="634"/>
      <c r="AK58" s="634"/>
      <c r="AL58" s="634"/>
      <c r="AM58" s="634"/>
      <c r="AN58" s="634"/>
      <c r="AO58" s="634"/>
      <c r="AP58" s="634"/>
      <c r="AQ58" s="634"/>
      <c r="AR58" s="634"/>
      <c r="AS58" s="634"/>
      <c r="AT58" s="634"/>
      <c r="AU58" s="634"/>
      <c r="AV58" s="634"/>
      <c r="AW58" s="634"/>
      <c r="AX58" s="634"/>
      <c r="AY58" s="634"/>
      <c r="AZ58" s="634"/>
      <c r="BA58" s="634"/>
      <c r="BB58" s="634"/>
      <c r="BC58" s="634"/>
      <c r="BD58" s="634"/>
      <c r="BE58" s="634"/>
      <c r="BF58" s="634"/>
      <c r="BG58" s="634"/>
      <c r="BH58" s="634"/>
      <c r="BI58" s="634"/>
      <c r="BJ58" s="634"/>
      <c r="BK58" s="634"/>
      <c r="BL58" s="634"/>
      <c r="BM58" s="634"/>
      <c r="BN58" s="634"/>
      <c r="BO58" s="634"/>
      <c r="BP58" s="634"/>
      <c r="BQ58" s="634"/>
      <c r="BR58" s="634"/>
      <c r="BS58" s="634"/>
      <c r="BT58" s="634"/>
      <c r="BU58" s="634"/>
      <c r="BV58" s="635"/>
      <c r="BW58" s="795"/>
      <c r="BX58" s="796"/>
      <c r="BY58" s="796"/>
      <c r="BZ58" s="796"/>
      <c r="CA58" s="796"/>
      <c r="CB58" s="796"/>
      <c r="CC58" s="796"/>
      <c r="CD58" s="796"/>
      <c r="CE58" s="796"/>
      <c r="CF58" s="796"/>
      <c r="CG58" s="796"/>
      <c r="CH58" s="796"/>
      <c r="CI58" s="796"/>
      <c r="CJ58" s="796"/>
      <c r="CK58" s="796"/>
      <c r="CL58" s="797"/>
      <c r="CM58" s="631"/>
      <c r="CN58" s="632"/>
      <c r="CO58" s="632"/>
      <c r="CP58" s="632"/>
      <c r="CQ58" s="632"/>
      <c r="CR58" s="632"/>
      <c r="CS58" s="632"/>
      <c r="CT58" s="632"/>
      <c r="CU58" s="632"/>
      <c r="CV58" s="632"/>
      <c r="CW58" s="632"/>
      <c r="CX58" s="632"/>
      <c r="CY58" s="632"/>
      <c r="CZ58" s="632"/>
      <c r="DA58" s="633"/>
      <c r="DE58" s="202">
        <v>211</v>
      </c>
    </row>
    <row r="59" spans="1:109" s="202" customFormat="1" ht="13.5" hidden="1" customHeight="1" x14ac:dyDescent="0.2">
      <c r="A59" s="595" t="s">
        <v>525</v>
      </c>
      <c r="B59" s="595"/>
      <c r="C59" s="595"/>
      <c r="D59" s="595"/>
      <c r="E59" s="595"/>
      <c r="F59" s="595"/>
      <c r="G59" s="321"/>
      <c r="H59" s="610" t="s">
        <v>526</v>
      </c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0"/>
      <c r="AH59" s="610"/>
      <c r="AI59" s="610"/>
      <c r="AJ59" s="610"/>
      <c r="AK59" s="610"/>
      <c r="AL59" s="610"/>
      <c r="AM59" s="610"/>
      <c r="AN59" s="610"/>
      <c r="AO59" s="610"/>
      <c r="AP59" s="610"/>
      <c r="AQ59" s="610"/>
      <c r="AR59" s="610"/>
      <c r="AS59" s="610"/>
      <c r="AT59" s="610"/>
      <c r="AU59" s="610"/>
      <c r="AV59" s="610"/>
      <c r="AW59" s="610"/>
      <c r="AX59" s="610"/>
      <c r="AY59" s="610"/>
      <c r="AZ59" s="610"/>
      <c r="BA59" s="610"/>
      <c r="BB59" s="610"/>
      <c r="BC59" s="610"/>
      <c r="BD59" s="610"/>
      <c r="BE59" s="610"/>
      <c r="BF59" s="610"/>
      <c r="BG59" s="610"/>
      <c r="BH59" s="610"/>
      <c r="BI59" s="610"/>
      <c r="BJ59" s="610"/>
      <c r="BK59" s="610"/>
      <c r="BL59" s="610"/>
      <c r="BM59" s="610"/>
      <c r="BN59" s="610"/>
      <c r="BO59" s="610"/>
      <c r="BP59" s="610"/>
      <c r="BQ59" s="610"/>
      <c r="BR59" s="610"/>
      <c r="BS59" s="610"/>
      <c r="BT59" s="610"/>
      <c r="BU59" s="610"/>
      <c r="BV59" s="611"/>
      <c r="BW59" s="597"/>
      <c r="BX59" s="597"/>
      <c r="BY59" s="597"/>
      <c r="BZ59" s="597"/>
      <c r="CA59" s="597"/>
      <c r="CB59" s="597"/>
      <c r="CC59" s="597"/>
      <c r="CD59" s="597"/>
      <c r="CE59" s="597"/>
      <c r="CF59" s="597"/>
      <c r="CG59" s="597"/>
      <c r="CH59" s="597"/>
      <c r="CI59" s="597"/>
      <c r="CJ59" s="597"/>
      <c r="CK59" s="597"/>
      <c r="CL59" s="597"/>
      <c r="CM59" s="597"/>
      <c r="CN59" s="597"/>
      <c r="CO59" s="597"/>
      <c r="CP59" s="597"/>
      <c r="CQ59" s="597"/>
      <c r="CR59" s="597"/>
      <c r="CS59" s="597"/>
      <c r="CT59" s="597"/>
      <c r="CU59" s="597"/>
      <c r="CV59" s="597"/>
      <c r="CW59" s="597"/>
      <c r="CX59" s="597"/>
      <c r="CY59" s="597"/>
      <c r="CZ59" s="597"/>
      <c r="DA59" s="597"/>
    </row>
    <row r="60" spans="1:109" s="202" customFormat="1" ht="26.25" hidden="1" customHeight="1" x14ac:dyDescent="0.2">
      <c r="A60" s="595" t="s">
        <v>527</v>
      </c>
      <c r="B60" s="595"/>
      <c r="C60" s="595"/>
      <c r="D60" s="595"/>
      <c r="E60" s="595"/>
      <c r="F60" s="595"/>
      <c r="G60" s="321"/>
      <c r="H60" s="610" t="s">
        <v>528</v>
      </c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  <c r="AG60" s="610"/>
      <c r="AH60" s="610"/>
      <c r="AI60" s="610"/>
      <c r="AJ60" s="610"/>
      <c r="AK60" s="610"/>
      <c r="AL60" s="610"/>
      <c r="AM60" s="610"/>
      <c r="AN60" s="610"/>
      <c r="AO60" s="610"/>
      <c r="AP60" s="610"/>
      <c r="AQ60" s="610"/>
      <c r="AR60" s="610"/>
      <c r="AS60" s="610"/>
      <c r="AT60" s="610"/>
      <c r="AU60" s="610"/>
      <c r="AV60" s="610"/>
      <c r="AW60" s="610"/>
      <c r="AX60" s="610"/>
      <c r="AY60" s="610"/>
      <c r="AZ60" s="610"/>
      <c r="BA60" s="610"/>
      <c r="BB60" s="610"/>
      <c r="BC60" s="610"/>
      <c r="BD60" s="610"/>
      <c r="BE60" s="610"/>
      <c r="BF60" s="610"/>
      <c r="BG60" s="610"/>
      <c r="BH60" s="610"/>
      <c r="BI60" s="610"/>
      <c r="BJ60" s="610"/>
      <c r="BK60" s="610"/>
      <c r="BL60" s="610"/>
      <c r="BM60" s="610"/>
      <c r="BN60" s="610"/>
      <c r="BO60" s="610"/>
      <c r="BP60" s="610"/>
      <c r="BQ60" s="610"/>
      <c r="BR60" s="610"/>
      <c r="BS60" s="610"/>
      <c r="BT60" s="610"/>
      <c r="BU60" s="610"/>
      <c r="BV60" s="611"/>
      <c r="BW60" s="597"/>
      <c r="BX60" s="597"/>
      <c r="BY60" s="597"/>
      <c r="BZ60" s="597"/>
      <c r="CA60" s="597"/>
      <c r="CB60" s="597"/>
      <c r="CC60" s="597"/>
      <c r="CD60" s="597"/>
      <c r="CE60" s="597"/>
      <c r="CF60" s="597"/>
      <c r="CG60" s="597"/>
      <c r="CH60" s="597"/>
      <c r="CI60" s="597"/>
      <c r="CJ60" s="597"/>
      <c r="CK60" s="597"/>
      <c r="CL60" s="597"/>
      <c r="CM60" s="597"/>
      <c r="CN60" s="597"/>
      <c r="CO60" s="597"/>
      <c r="CP60" s="597"/>
      <c r="CQ60" s="597"/>
      <c r="CR60" s="597"/>
      <c r="CS60" s="597"/>
      <c r="CT60" s="597"/>
      <c r="CU60" s="597"/>
      <c r="CV60" s="597"/>
      <c r="CW60" s="597"/>
      <c r="CX60" s="597"/>
      <c r="CY60" s="597"/>
      <c r="CZ60" s="597"/>
      <c r="DA60" s="597"/>
      <c r="DE60" s="327">
        <f>ROUND((76200*100/130.2),-2)</f>
        <v>58500</v>
      </c>
    </row>
    <row r="61" spans="1:109" s="202" customFormat="1" ht="26.25" hidden="1" customHeight="1" x14ac:dyDescent="0.2">
      <c r="A61" s="595" t="s">
        <v>529</v>
      </c>
      <c r="B61" s="595"/>
      <c r="C61" s="595"/>
      <c r="D61" s="595"/>
      <c r="E61" s="595"/>
      <c r="F61" s="595"/>
      <c r="G61" s="321"/>
      <c r="H61" s="612" t="s">
        <v>530</v>
      </c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612"/>
      <c r="AW61" s="612"/>
      <c r="AX61" s="612"/>
      <c r="AY61" s="612"/>
      <c r="AZ61" s="612"/>
      <c r="BA61" s="612"/>
      <c r="BB61" s="612"/>
      <c r="BC61" s="612"/>
      <c r="BD61" s="612"/>
      <c r="BE61" s="612"/>
      <c r="BF61" s="612"/>
      <c r="BG61" s="612"/>
      <c r="BH61" s="612"/>
      <c r="BI61" s="612"/>
      <c r="BJ61" s="612"/>
      <c r="BK61" s="612"/>
      <c r="BL61" s="612"/>
      <c r="BM61" s="612"/>
      <c r="BN61" s="612"/>
      <c r="BO61" s="612"/>
      <c r="BP61" s="612"/>
      <c r="BQ61" s="612"/>
      <c r="BR61" s="612"/>
      <c r="BS61" s="612"/>
      <c r="BT61" s="612"/>
      <c r="BU61" s="612"/>
      <c r="BV61" s="613"/>
      <c r="BW61" s="597" t="s">
        <v>487</v>
      </c>
      <c r="BX61" s="597"/>
      <c r="BY61" s="597"/>
      <c r="BZ61" s="597"/>
      <c r="CA61" s="597"/>
      <c r="CB61" s="597"/>
      <c r="CC61" s="597"/>
      <c r="CD61" s="597"/>
      <c r="CE61" s="597"/>
      <c r="CF61" s="597"/>
      <c r="CG61" s="597"/>
      <c r="CH61" s="597"/>
      <c r="CI61" s="597"/>
      <c r="CJ61" s="597"/>
      <c r="CK61" s="597"/>
      <c r="CL61" s="597"/>
      <c r="CM61" s="597"/>
      <c r="CN61" s="597"/>
      <c r="CO61" s="597"/>
      <c r="CP61" s="597"/>
      <c r="CQ61" s="597"/>
      <c r="CR61" s="597"/>
      <c r="CS61" s="597"/>
      <c r="CT61" s="597"/>
      <c r="CU61" s="597"/>
      <c r="CV61" s="597"/>
      <c r="CW61" s="597"/>
      <c r="CX61" s="597"/>
      <c r="CY61" s="597"/>
      <c r="CZ61" s="597"/>
      <c r="DA61" s="597"/>
    </row>
    <row r="62" spans="1:109" s="202" customFormat="1" ht="12.75" hidden="1" x14ac:dyDescent="0.2">
      <c r="A62" s="614" t="s">
        <v>531</v>
      </c>
      <c r="B62" s="615"/>
      <c r="C62" s="615"/>
      <c r="D62" s="615"/>
      <c r="E62" s="615"/>
      <c r="F62" s="616"/>
      <c r="G62" s="322"/>
      <c r="H62" s="620" t="s">
        <v>215</v>
      </c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  <c r="AC62" s="620"/>
      <c r="AD62" s="620"/>
      <c r="AE62" s="620"/>
      <c r="AF62" s="620"/>
      <c r="AG62" s="620"/>
      <c r="AH62" s="620"/>
      <c r="AI62" s="620"/>
      <c r="AJ62" s="620"/>
      <c r="AK62" s="620"/>
      <c r="AL62" s="620"/>
      <c r="AM62" s="620"/>
      <c r="AN62" s="620"/>
      <c r="AO62" s="620"/>
      <c r="AP62" s="620"/>
      <c r="AQ62" s="620"/>
      <c r="AR62" s="620"/>
      <c r="AS62" s="620"/>
      <c r="AT62" s="620"/>
      <c r="AU62" s="620"/>
      <c r="AV62" s="620"/>
      <c r="AW62" s="620"/>
      <c r="AX62" s="620"/>
      <c r="AY62" s="620"/>
      <c r="AZ62" s="620"/>
      <c r="BA62" s="620"/>
      <c r="BB62" s="620"/>
      <c r="BC62" s="620"/>
      <c r="BD62" s="620"/>
      <c r="BE62" s="620"/>
      <c r="BF62" s="620"/>
      <c r="BG62" s="620"/>
      <c r="BH62" s="620"/>
      <c r="BI62" s="620"/>
      <c r="BJ62" s="620"/>
      <c r="BK62" s="620"/>
      <c r="BL62" s="620"/>
      <c r="BM62" s="620"/>
      <c r="BN62" s="620"/>
      <c r="BO62" s="620"/>
      <c r="BP62" s="620"/>
      <c r="BQ62" s="620"/>
      <c r="BR62" s="620"/>
      <c r="BS62" s="620"/>
      <c r="BT62" s="620"/>
      <c r="BU62" s="620"/>
      <c r="BV62" s="621"/>
      <c r="BW62" s="628">
        <f>BW57</f>
        <v>0</v>
      </c>
      <c r="BX62" s="636"/>
      <c r="BY62" s="636"/>
      <c r="BZ62" s="636"/>
      <c r="CA62" s="636"/>
      <c r="CB62" s="636"/>
      <c r="CC62" s="636"/>
      <c r="CD62" s="636"/>
      <c r="CE62" s="636"/>
      <c r="CF62" s="636"/>
      <c r="CG62" s="636"/>
      <c r="CH62" s="636"/>
      <c r="CI62" s="636"/>
      <c r="CJ62" s="636"/>
      <c r="CK62" s="636"/>
      <c r="CL62" s="637"/>
      <c r="CM62" s="628">
        <f>BW62*2.9%</f>
        <v>0</v>
      </c>
      <c r="CN62" s="629"/>
      <c r="CO62" s="629"/>
      <c r="CP62" s="629"/>
      <c r="CQ62" s="629"/>
      <c r="CR62" s="629"/>
      <c r="CS62" s="629"/>
      <c r="CT62" s="629"/>
      <c r="CU62" s="629"/>
      <c r="CV62" s="629"/>
      <c r="CW62" s="629"/>
      <c r="CX62" s="629"/>
      <c r="CY62" s="629"/>
      <c r="CZ62" s="629"/>
      <c r="DA62" s="630"/>
    </row>
    <row r="63" spans="1:109" s="202" customFormat="1" ht="25.5" hidden="1" customHeight="1" x14ac:dyDescent="0.2">
      <c r="A63" s="617"/>
      <c r="B63" s="618"/>
      <c r="C63" s="618"/>
      <c r="D63" s="618"/>
      <c r="E63" s="618"/>
      <c r="F63" s="619"/>
      <c r="G63" s="323"/>
      <c r="H63" s="634" t="s">
        <v>532</v>
      </c>
      <c r="I63" s="634"/>
      <c r="J63" s="634"/>
      <c r="K63" s="634"/>
      <c r="L63" s="634"/>
      <c r="M63" s="634"/>
      <c r="N63" s="634"/>
      <c r="O63" s="634"/>
      <c r="P63" s="634"/>
      <c r="Q63" s="634"/>
      <c r="R63" s="634"/>
      <c r="S63" s="634"/>
      <c r="T63" s="634"/>
      <c r="U63" s="634"/>
      <c r="V63" s="634"/>
      <c r="W63" s="634"/>
      <c r="X63" s="634"/>
      <c r="Y63" s="634"/>
      <c r="Z63" s="634"/>
      <c r="AA63" s="634"/>
      <c r="AB63" s="634"/>
      <c r="AC63" s="634"/>
      <c r="AD63" s="634"/>
      <c r="AE63" s="634"/>
      <c r="AF63" s="634"/>
      <c r="AG63" s="634"/>
      <c r="AH63" s="634"/>
      <c r="AI63" s="634"/>
      <c r="AJ63" s="634"/>
      <c r="AK63" s="634"/>
      <c r="AL63" s="634"/>
      <c r="AM63" s="634"/>
      <c r="AN63" s="634"/>
      <c r="AO63" s="634"/>
      <c r="AP63" s="634"/>
      <c r="AQ63" s="634"/>
      <c r="AR63" s="634"/>
      <c r="AS63" s="634"/>
      <c r="AT63" s="634"/>
      <c r="AU63" s="634"/>
      <c r="AV63" s="634"/>
      <c r="AW63" s="634"/>
      <c r="AX63" s="634"/>
      <c r="AY63" s="634"/>
      <c r="AZ63" s="634"/>
      <c r="BA63" s="634"/>
      <c r="BB63" s="634"/>
      <c r="BC63" s="634"/>
      <c r="BD63" s="634"/>
      <c r="BE63" s="634"/>
      <c r="BF63" s="634"/>
      <c r="BG63" s="634"/>
      <c r="BH63" s="634"/>
      <c r="BI63" s="634"/>
      <c r="BJ63" s="634"/>
      <c r="BK63" s="634"/>
      <c r="BL63" s="634"/>
      <c r="BM63" s="634"/>
      <c r="BN63" s="634"/>
      <c r="BO63" s="634"/>
      <c r="BP63" s="634"/>
      <c r="BQ63" s="634"/>
      <c r="BR63" s="634"/>
      <c r="BS63" s="634"/>
      <c r="BT63" s="634"/>
      <c r="BU63" s="634"/>
      <c r="BV63" s="635"/>
      <c r="BW63" s="638"/>
      <c r="BX63" s="639"/>
      <c r="BY63" s="639"/>
      <c r="BZ63" s="639"/>
      <c r="CA63" s="639"/>
      <c r="CB63" s="639"/>
      <c r="CC63" s="639"/>
      <c r="CD63" s="639"/>
      <c r="CE63" s="639"/>
      <c r="CF63" s="639"/>
      <c r="CG63" s="639"/>
      <c r="CH63" s="639"/>
      <c r="CI63" s="639"/>
      <c r="CJ63" s="639"/>
      <c r="CK63" s="639"/>
      <c r="CL63" s="640"/>
      <c r="CM63" s="631"/>
      <c r="CN63" s="632"/>
      <c r="CO63" s="632"/>
      <c r="CP63" s="632"/>
      <c r="CQ63" s="632"/>
      <c r="CR63" s="632"/>
      <c r="CS63" s="632"/>
      <c r="CT63" s="632"/>
      <c r="CU63" s="632"/>
      <c r="CV63" s="632"/>
      <c r="CW63" s="632"/>
      <c r="CX63" s="632"/>
      <c r="CY63" s="632"/>
      <c r="CZ63" s="632"/>
      <c r="DA63" s="633"/>
      <c r="DE63" s="327">
        <f>BW57+CM69</f>
        <v>0</v>
      </c>
    </row>
    <row r="64" spans="1:109" s="202" customFormat="1" ht="26.25" hidden="1" customHeight="1" x14ac:dyDescent="0.2">
      <c r="A64" s="595" t="s">
        <v>533</v>
      </c>
      <c r="B64" s="595"/>
      <c r="C64" s="595"/>
      <c r="D64" s="595"/>
      <c r="E64" s="595"/>
      <c r="F64" s="595"/>
      <c r="G64" s="321"/>
      <c r="H64" s="610" t="s">
        <v>534</v>
      </c>
      <c r="I64" s="610"/>
      <c r="J64" s="610"/>
      <c r="K64" s="610"/>
      <c r="L64" s="610"/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10"/>
      <c r="AH64" s="610"/>
      <c r="AI64" s="610"/>
      <c r="AJ64" s="610"/>
      <c r="AK64" s="610"/>
      <c r="AL64" s="610"/>
      <c r="AM64" s="610"/>
      <c r="AN64" s="610"/>
      <c r="AO64" s="610"/>
      <c r="AP64" s="610"/>
      <c r="AQ64" s="610"/>
      <c r="AR64" s="610"/>
      <c r="AS64" s="610"/>
      <c r="AT64" s="610"/>
      <c r="AU64" s="610"/>
      <c r="AV64" s="610"/>
      <c r="AW64" s="610"/>
      <c r="AX64" s="610"/>
      <c r="AY64" s="610"/>
      <c r="AZ64" s="610"/>
      <c r="BA64" s="610"/>
      <c r="BB64" s="610"/>
      <c r="BC64" s="610"/>
      <c r="BD64" s="610"/>
      <c r="BE64" s="610"/>
      <c r="BF64" s="610"/>
      <c r="BG64" s="610"/>
      <c r="BH64" s="610"/>
      <c r="BI64" s="610"/>
      <c r="BJ64" s="610"/>
      <c r="BK64" s="610"/>
      <c r="BL64" s="610"/>
      <c r="BM64" s="610"/>
      <c r="BN64" s="610"/>
      <c r="BO64" s="610"/>
      <c r="BP64" s="610"/>
      <c r="BQ64" s="610"/>
      <c r="BR64" s="610"/>
      <c r="BS64" s="610"/>
      <c r="BT64" s="610"/>
      <c r="BU64" s="610"/>
      <c r="BV64" s="611"/>
      <c r="BW64" s="597"/>
      <c r="BX64" s="597"/>
      <c r="BY64" s="597"/>
      <c r="BZ64" s="597"/>
      <c r="CA64" s="597"/>
      <c r="CB64" s="597"/>
      <c r="CC64" s="597"/>
      <c r="CD64" s="597"/>
      <c r="CE64" s="597"/>
      <c r="CF64" s="597"/>
      <c r="CG64" s="597"/>
      <c r="CH64" s="597"/>
      <c r="CI64" s="597"/>
      <c r="CJ64" s="597"/>
      <c r="CK64" s="597"/>
      <c r="CL64" s="597"/>
      <c r="CM64" s="597"/>
      <c r="CN64" s="597"/>
      <c r="CO64" s="597"/>
      <c r="CP64" s="597"/>
      <c r="CQ64" s="597"/>
      <c r="CR64" s="597"/>
      <c r="CS64" s="597"/>
      <c r="CT64" s="597"/>
      <c r="CU64" s="597"/>
      <c r="CV64" s="597"/>
      <c r="CW64" s="597"/>
      <c r="CX64" s="597"/>
      <c r="CY64" s="597"/>
      <c r="CZ64" s="597"/>
      <c r="DA64" s="597"/>
    </row>
    <row r="65" spans="1:109" s="202" customFormat="1" ht="27" hidden="1" customHeight="1" x14ac:dyDescent="0.2">
      <c r="A65" s="595" t="s">
        <v>535</v>
      </c>
      <c r="B65" s="595"/>
      <c r="C65" s="595"/>
      <c r="D65" s="595"/>
      <c r="E65" s="595"/>
      <c r="F65" s="595"/>
      <c r="G65" s="321"/>
      <c r="H65" s="610" t="s">
        <v>536</v>
      </c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  <c r="AJ65" s="610"/>
      <c r="AK65" s="610"/>
      <c r="AL65" s="610"/>
      <c r="AM65" s="610"/>
      <c r="AN65" s="610"/>
      <c r="AO65" s="610"/>
      <c r="AP65" s="610"/>
      <c r="AQ65" s="610"/>
      <c r="AR65" s="610"/>
      <c r="AS65" s="610"/>
      <c r="AT65" s="610"/>
      <c r="AU65" s="610"/>
      <c r="AV65" s="610"/>
      <c r="AW65" s="610"/>
      <c r="AX65" s="610"/>
      <c r="AY65" s="610"/>
      <c r="AZ65" s="610"/>
      <c r="BA65" s="610"/>
      <c r="BB65" s="610"/>
      <c r="BC65" s="610"/>
      <c r="BD65" s="610"/>
      <c r="BE65" s="610"/>
      <c r="BF65" s="610"/>
      <c r="BG65" s="610"/>
      <c r="BH65" s="610"/>
      <c r="BI65" s="610"/>
      <c r="BJ65" s="610"/>
      <c r="BK65" s="610"/>
      <c r="BL65" s="610"/>
      <c r="BM65" s="610"/>
      <c r="BN65" s="610"/>
      <c r="BO65" s="610"/>
      <c r="BP65" s="610"/>
      <c r="BQ65" s="610"/>
      <c r="BR65" s="610"/>
      <c r="BS65" s="610"/>
      <c r="BT65" s="610"/>
      <c r="BU65" s="610"/>
      <c r="BV65" s="611"/>
      <c r="BW65" s="601">
        <f>BW57</f>
        <v>0</v>
      </c>
      <c r="BX65" s="597"/>
      <c r="BY65" s="597"/>
      <c r="BZ65" s="597"/>
      <c r="CA65" s="597"/>
      <c r="CB65" s="597"/>
      <c r="CC65" s="597"/>
      <c r="CD65" s="597"/>
      <c r="CE65" s="597"/>
      <c r="CF65" s="597"/>
      <c r="CG65" s="597"/>
      <c r="CH65" s="597"/>
      <c r="CI65" s="597"/>
      <c r="CJ65" s="597"/>
      <c r="CK65" s="597"/>
      <c r="CL65" s="597"/>
      <c r="CM65" s="601">
        <f>BW65*0.2%</f>
        <v>0</v>
      </c>
      <c r="CN65" s="601"/>
      <c r="CO65" s="601"/>
      <c r="CP65" s="601"/>
      <c r="CQ65" s="601"/>
      <c r="CR65" s="601"/>
      <c r="CS65" s="601"/>
      <c r="CT65" s="601"/>
      <c r="CU65" s="601"/>
      <c r="CV65" s="601"/>
      <c r="CW65" s="601"/>
      <c r="CX65" s="601"/>
      <c r="CY65" s="601"/>
      <c r="CZ65" s="601"/>
      <c r="DA65" s="601"/>
    </row>
    <row r="66" spans="1:109" s="202" customFormat="1" ht="27" hidden="1" customHeight="1" x14ac:dyDescent="0.2">
      <c r="A66" s="595" t="s">
        <v>537</v>
      </c>
      <c r="B66" s="595"/>
      <c r="C66" s="595"/>
      <c r="D66" s="595"/>
      <c r="E66" s="595"/>
      <c r="F66" s="595"/>
      <c r="G66" s="321"/>
      <c r="H66" s="610" t="s">
        <v>538</v>
      </c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10"/>
      <c r="AH66" s="610"/>
      <c r="AI66" s="610"/>
      <c r="AJ66" s="610"/>
      <c r="AK66" s="610"/>
      <c r="AL66" s="610"/>
      <c r="AM66" s="610"/>
      <c r="AN66" s="610"/>
      <c r="AO66" s="610"/>
      <c r="AP66" s="610"/>
      <c r="AQ66" s="610"/>
      <c r="AR66" s="610"/>
      <c r="AS66" s="610"/>
      <c r="AT66" s="610"/>
      <c r="AU66" s="610"/>
      <c r="AV66" s="610"/>
      <c r="AW66" s="610"/>
      <c r="AX66" s="610"/>
      <c r="AY66" s="610"/>
      <c r="AZ66" s="610"/>
      <c r="BA66" s="610"/>
      <c r="BB66" s="610"/>
      <c r="BC66" s="610"/>
      <c r="BD66" s="610"/>
      <c r="BE66" s="610"/>
      <c r="BF66" s="610"/>
      <c r="BG66" s="610"/>
      <c r="BH66" s="610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1"/>
      <c r="BW66" s="597"/>
      <c r="BX66" s="597"/>
      <c r="BY66" s="597"/>
      <c r="BZ66" s="597"/>
      <c r="CA66" s="597"/>
      <c r="CB66" s="597"/>
      <c r="CC66" s="597"/>
      <c r="CD66" s="597"/>
      <c r="CE66" s="597"/>
      <c r="CF66" s="597"/>
      <c r="CG66" s="597"/>
      <c r="CH66" s="597"/>
      <c r="CI66" s="597"/>
      <c r="CJ66" s="597"/>
      <c r="CK66" s="597"/>
      <c r="CL66" s="597"/>
      <c r="CM66" s="597"/>
      <c r="CN66" s="597"/>
      <c r="CO66" s="597"/>
      <c r="CP66" s="597"/>
      <c r="CQ66" s="597"/>
      <c r="CR66" s="597"/>
      <c r="CS66" s="597"/>
      <c r="CT66" s="597"/>
      <c r="CU66" s="597"/>
      <c r="CV66" s="597"/>
      <c r="CW66" s="597"/>
      <c r="CX66" s="597"/>
      <c r="CY66" s="597"/>
      <c r="CZ66" s="597"/>
      <c r="DA66" s="597"/>
    </row>
    <row r="67" spans="1:109" s="202" customFormat="1" ht="27" hidden="1" customHeight="1" x14ac:dyDescent="0.2">
      <c r="A67" s="595" t="s">
        <v>539</v>
      </c>
      <c r="B67" s="595"/>
      <c r="C67" s="595"/>
      <c r="D67" s="595"/>
      <c r="E67" s="595"/>
      <c r="F67" s="595"/>
      <c r="G67" s="321"/>
      <c r="H67" s="610" t="s">
        <v>538</v>
      </c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/>
      <c r="AJ67" s="610"/>
      <c r="AK67" s="610"/>
      <c r="AL67" s="610"/>
      <c r="AM67" s="610"/>
      <c r="AN67" s="610"/>
      <c r="AO67" s="610"/>
      <c r="AP67" s="610"/>
      <c r="AQ67" s="610"/>
      <c r="AR67" s="610"/>
      <c r="AS67" s="610"/>
      <c r="AT67" s="610"/>
      <c r="AU67" s="610"/>
      <c r="AV67" s="610"/>
      <c r="AW67" s="610"/>
      <c r="AX67" s="610"/>
      <c r="AY67" s="610"/>
      <c r="AZ67" s="610"/>
      <c r="BA67" s="610"/>
      <c r="BB67" s="610"/>
      <c r="BC67" s="610"/>
      <c r="BD67" s="610"/>
      <c r="BE67" s="610"/>
      <c r="BF67" s="610"/>
      <c r="BG67" s="610"/>
      <c r="BH67" s="610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1"/>
      <c r="BW67" s="597"/>
      <c r="BX67" s="597"/>
      <c r="BY67" s="597"/>
      <c r="BZ67" s="597"/>
      <c r="CA67" s="597"/>
      <c r="CB67" s="597"/>
      <c r="CC67" s="597"/>
      <c r="CD67" s="597"/>
      <c r="CE67" s="597"/>
      <c r="CF67" s="597"/>
      <c r="CG67" s="597"/>
      <c r="CH67" s="597"/>
      <c r="CI67" s="597"/>
      <c r="CJ67" s="597"/>
      <c r="CK67" s="597"/>
      <c r="CL67" s="597"/>
      <c r="CM67" s="597"/>
      <c r="CN67" s="597"/>
      <c r="CO67" s="597"/>
      <c r="CP67" s="597"/>
      <c r="CQ67" s="597"/>
      <c r="CR67" s="597"/>
      <c r="CS67" s="597"/>
      <c r="CT67" s="597"/>
      <c r="CU67" s="597"/>
      <c r="CV67" s="597"/>
      <c r="CW67" s="597"/>
      <c r="CX67" s="597"/>
      <c r="CY67" s="597"/>
      <c r="CZ67" s="597"/>
      <c r="DA67" s="597"/>
    </row>
    <row r="68" spans="1:109" s="202" customFormat="1" ht="26.25" hidden="1" customHeight="1" x14ac:dyDescent="0.2">
      <c r="A68" s="595" t="s">
        <v>540</v>
      </c>
      <c r="B68" s="595"/>
      <c r="C68" s="595"/>
      <c r="D68" s="595"/>
      <c r="E68" s="595"/>
      <c r="F68" s="595"/>
      <c r="G68" s="321"/>
      <c r="H68" s="612" t="s">
        <v>541</v>
      </c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2"/>
      <c r="AQ68" s="612"/>
      <c r="AR68" s="612"/>
      <c r="AS68" s="612"/>
      <c r="AT68" s="612"/>
      <c r="AU68" s="612"/>
      <c r="AV68" s="612"/>
      <c r="AW68" s="612"/>
      <c r="AX68" s="612"/>
      <c r="AY68" s="612"/>
      <c r="AZ68" s="612"/>
      <c r="BA68" s="612"/>
      <c r="BB68" s="612"/>
      <c r="BC68" s="612"/>
      <c r="BD68" s="612"/>
      <c r="BE68" s="612"/>
      <c r="BF68" s="612"/>
      <c r="BG68" s="612"/>
      <c r="BH68" s="612"/>
      <c r="BI68" s="612"/>
      <c r="BJ68" s="612"/>
      <c r="BK68" s="612"/>
      <c r="BL68" s="612"/>
      <c r="BM68" s="612"/>
      <c r="BN68" s="612"/>
      <c r="BO68" s="612"/>
      <c r="BP68" s="612"/>
      <c r="BQ68" s="612"/>
      <c r="BR68" s="612"/>
      <c r="BS68" s="612"/>
      <c r="BT68" s="612"/>
      <c r="BU68" s="612"/>
      <c r="BV68" s="613"/>
      <c r="BW68" s="601">
        <f>BW65</f>
        <v>0</v>
      </c>
      <c r="BX68" s="597"/>
      <c r="BY68" s="597"/>
      <c r="BZ68" s="597"/>
      <c r="CA68" s="597"/>
      <c r="CB68" s="597"/>
      <c r="CC68" s="597"/>
      <c r="CD68" s="597"/>
      <c r="CE68" s="597"/>
      <c r="CF68" s="597"/>
      <c r="CG68" s="597"/>
      <c r="CH68" s="597"/>
      <c r="CI68" s="597"/>
      <c r="CJ68" s="597"/>
      <c r="CK68" s="597"/>
      <c r="CL68" s="597"/>
      <c r="CM68" s="601">
        <f>BW68*5.1%</f>
        <v>0</v>
      </c>
      <c r="CN68" s="601"/>
      <c r="CO68" s="601"/>
      <c r="CP68" s="601"/>
      <c r="CQ68" s="601"/>
      <c r="CR68" s="601"/>
      <c r="CS68" s="601"/>
      <c r="CT68" s="601"/>
      <c r="CU68" s="601"/>
      <c r="CV68" s="601"/>
      <c r="CW68" s="601"/>
      <c r="CX68" s="601"/>
      <c r="CY68" s="601"/>
      <c r="CZ68" s="601"/>
      <c r="DA68" s="601"/>
    </row>
    <row r="69" spans="1:109" s="202" customFormat="1" ht="13.5" hidden="1" customHeight="1" x14ac:dyDescent="0.2">
      <c r="A69" s="595"/>
      <c r="B69" s="595"/>
      <c r="C69" s="595"/>
      <c r="D69" s="595"/>
      <c r="E69" s="595"/>
      <c r="F69" s="595"/>
      <c r="G69" s="643" t="s">
        <v>610</v>
      </c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06"/>
      <c r="AR69" s="606"/>
      <c r="AS69" s="606"/>
      <c r="AT69" s="606"/>
      <c r="AU69" s="606"/>
      <c r="AV69" s="606"/>
      <c r="AW69" s="606"/>
      <c r="AX69" s="606"/>
      <c r="AY69" s="606"/>
      <c r="AZ69" s="606"/>
      <c r="BA69" s="606"/>
      <c r="BB69" s="606"/>
      <c r="BC69" s="606"/>
      <c r="BD69" s="606"/>
      <c r="BE69" s="606"/>
      <c r="BF69" s="606"/>
      <c r="BG69" s="606"/>
      <c r="BH69" s="606"/>
      <c r="BI69" s="606"/>
      <c r="BJ69" s="606"/>
      <c r="BK69" s="606"/>
      <c r="BL69" s="606"/>
      <c r="BM69" s="606"/>
      <c r="BN69" s="606"/>
      <c r="BO69" s="606"/>
      <c r="BP69" s="606"/>
      <c r="BQ69" s="606"/>
      <c r="BR69" s="606"/>
      <c r="BS69" s="606"/>
      <c r="BT69" s="606"/>
      <c r="BU69" s="606"/>
      <c r="BV69" s="607"/>
      <c r="BW69" s="597" t="s">
        <v>487</v>
      </c>
      <c r="BX69" s="597"/>
      <c r="BY69" s="597"/>
      <c r="BZ69" s="597"/>
      <c r="CA69" s="597"/>
      <c r="CB69" s="597"/>
      <c r="CC69" s="597"/>
      <c r="CD69" s="597"/>
      <c r="CE69" s="597"/>
      <c r="CF69" s="597"/>
      <c r="CG69" s="597"/>
      <c r="CH69" s="597"/>
      <c r="CI69" s="597"/>
      <c r="CJ69" s="597"/>
      <c r="CK69" s="597"/>
      <c r="CL69" s="597"/>
      <c r="CM69" s="608">
        <f>SUM(CM57:DA68)</f>
        <v>0</v>
      </c>
      <c r="CN69" s="646"/>
      <c r="CO69" s="646"/>
      <c r="CP69" s="646"/>
      <c r="CQ69" s="646"/>
      <c r="CR69" s="646"/>
      <c r="CS69" s="646"/>
      <c r="CT69" s="646"/>
      <c r="CU69" s="646"/>
      <c r="CV69" s="646"/>
      <c r="CW69" s="646"/>
      <c r="CX69" s="646"/>
      <c r="CY69" s="646"/>
      <c r="CZ69" s="646"/>
      <c r="DA69" s="646"/>
      <c r="DE69" s="202">
        <v>213</v>
      </c>
    </row>
    <row r="70" spans="1:109" s="315" customFormat="1" ht="64.5" hidden="1" customHeight="1" x14ac:dyDescent="0.2">
      <c r="A70" s="800" t="s">
        <v>685</v>
      </c>
      <c r="B70" s="800"/>
      <c r="C70" s="800"/>
      <c r="D70" s="800"/>
      <c r="E70" s="800"/>
      <c r="F70" s="800"/>
      <c r="G70" s="800"/>
      <c r="H70" s="800"/>
      <c r="I70" s="800"/>
      <c r="J70" s="800"/>
      <c r="K70" s="800"/>
      <c r="L70" s="800"/>
      <c r="M70" s="800"/>
      <c r="N70" s="800"/>
      <c r="O70" s="800"/>
      <c r="P70" s="800"/>
      <c r="Q70" s="800"/>
      <c r="R70" s="800"/>
      <c r="S70" s="800"/>
      <c r="T70" s="800"/>
      <c r="U70" s="800"/>
      <c r="V70" s="800"/>
      <c r="W70" s="800"/>
      <c r="X70" s="800"/>
      <c r="Y70" s="800"/>
      <c r="Z70" s="800"/>
      <c r="AA70" s="800"/>
      <c r="AB70" s="800"/>
      <c r="AC70" s="800"/>
      <c r="AD70" s="800"/>
      <c r="AE70" s="800"/>
      <c r="AF70" s="800"/>
      <c r="AG70" s="800"/>
      <c r="AH70" s="800"/>
      <c r="AI70" s="800"/>
      <c r="AJ70" s="800"/>
      <c r="AK70" s="800"/>
      <c r="AL70" s="800"/>
      <c r="AM70" s="800"/>
      <c r="AN70" s="800"/>
      <c r="AO70" s="800"/>
      <c r="AP70" s="800"/>
      <c r="AQ70" s="800"/>
      <c r="AR70" s="800"/>
      <c r="AS70" s="800"/>
      <c r="AT70" s="800"/>
      <c r="AU70" s="800"/>
      <c r="AV70" s="800"/>
      <c r="AW70" s="800"/>
      <c r="AX70" s="800"/>
      <c r="AY70" s="800"/>
      <c r="AZ70" s="800"/>
      <c r="BA70" s="800"/>
      <c r="BB70" s="800"/>
      <c r="BC70" s="800"/>
      <c r="BD70" s="800"/>
      <c r="BE70" s="800"/>
      <c r="BF70" s="800"/>
      <c r="BG70" s="800"/>
      <c r="BH70" s="800"/>
      <c r="BI70" s="800"/>
      <c r="BJ70" s="800"/>
      <c r="BK70" s="800"/>
      <c r="BL70" s="800"/>
      <c r="BM70" s="800"/>
      <c r="BN70" s="800"/>
      <c r="BO70" s="800"/>
      <c r="BP70" s="800"/>
      <c r="BQ70" s="800"/>
      <c r="BR70" s="800"/>
      <c r="BS70" s="800"/>
      <c r="BT70" s="800"/>
      <c r="BU70" s="800"/>
      <c r="BV70" s="800"/>
      <c r="BW70" s="800"/>
      <c r="BX70" s="800"/>
      <c r="BY70" s="800"/>
      <c r="BZ70" s="800"/>
      <c r="CA70" s="800"/>
      <c r="CB70" s="800"/>
      <c r="CC70" s="800"/>
      <c r="CD70" s="800"/>
      <c r="CE70" s="800"/>
      <c r="CF70" s="800"/>
      <c r="CG70" s="800"/>
      <c r="CH70" s="800"/>
      <c r="CI70" s="800"/>
      <c r="CJ70" s="800"/>
      <c r="CK70" s="800"/>
      <c r="CL70" s="800"/>
      <c r="CM70" s="800"/>
      <c r="CN70" s="800"/>
      <c r="CO70" s="800"/>
      <c r="CP70" s="800"/>
      <c r="CQ70" s="800"/>
      <c r="CR70" s="800"/>
      <c r="CS70" s="800"/>
      <c r="CT70" s="800"/>
      <c r="CU70" s="800"/>
      <c r="CV70" s="800"/>
      <c r="CW70" s="800"/>
      <c r="CX70" s="800"/>
      <c r="CY70" s="800"/>
      <c r="CZ70" s="800"/>
      <c r="DA70" s="800"/>
      <c r="DE70" s="202" t="s">
        <v>683</v>
      </c>
    </row>
    <row r="71" spans="1:109" ht="10.5" hidden="1" customHeight="1" x14ac:dyDescent="0.25"/>
    <row r="72" spans="1:109" ht="55.5" hidden="1" customHeight="1" x14ac:dyDescent="0.25">
      <c r="A72" s="592" t="s">
        <v>146</v>
      </c>
      <c r="B72" s="593"/>
      <c r="C72" s="593"/>
      <c r="D72" s="593"/>
      <c r="E72" s="593"/>
      <c r="F72" s="594"/>
      <c r="G72" s="592" t="s">
        <v>518</v>
      </c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3"/>
      <c r="AQ72" s="593"/>
      <c r="AR72" s="593"/>
      <c r="AS72" s="593"/>
      <c r="AT72" s="593"/>
      <c r="AU72" s="593"/>
      <c r="AV72" s="593"/>
      <c r="AW72" s="593"/>
      <c r="AX72" s="593"/>
      <c r="AY72" s="593"/>
      <c r="AZ72" s="593"/>
      <c r="BA72" s="593"/>
      <c r="BB72" s="593"/>
      <c r="BC72" s="593"/>
      <c r="BD72" s="593"/>
      <c r="BE72" s="593"/>
      <c r="BF72" s="593"/>
      <c r="BG72" s="593"/>
      <c r="BH72" s="593"/>
      <c r="BI72" s="593"/>
      <c r="BJ72" s="593"/>
      <c r="BK72" s="593"/>
      <c r="BL72" s="593"/>
      <c r="BM72" s="593"/>
      <c r="BN72" s="593"/>
      <c r="BO72" s="593"/>
      <c r="BP72" s="593"/>
      <c r="BQ72" s="593"/>
      <c r="BR72" s="593"/>
      <c r="BS72" s="593"/>
      <c r="BT72" s="593"/>
      <c r="BU72" s="593"/>
      <c r="BV72" s="594"/>
      <c r="BW72" s="592" t="s">
        <v>519</v>
      </c>
      <c r="BX72" s="593"/>
      <c r="BY72" s="593"/>
      <c r="BZ72" s="593"/>
      <c r="CA72" s="593"/>
      <c r="CB72" s="593"/>
      <c r="CC72" s="593"/>
      <c r="CD72" s="593"/>
      <c r="CE72" s="593"/>
      <c r="CF72" s="593"/>
      <c r="CG72" s="593"/>
      <c r="CH72" s="593"/>
      <c r="CI72" s="593"/>
      <c r="CJ72" s="593"/>
      <c r="CK72" s="593"/>
      <c r="CL72" s="594"/>
      <c r="CM72" s="592" t="s">
        <v>520</v>
      </c>
      <c r="CN72" s="593"/>
      <c r="CO72" s="593"/>
      <c r="CP72" s="593"/>
      <c r="CQ72" s="593"/>
      <c r="CR72" s="593"/>
      <c r="CS72" s="593"/>
      <c r="CT72" s="593"/>
      <c r="CU72" s="593"/>
      <c r="CV72" s="593"/>
      <c r="CW72" s="593"/>
      <c r="CX72" s="593"/>
      <c r="CY72" s="593"/>
      <c r="CZ72" s="593"/>
      <c r="DA72" s="594"/>
      <c r="DE72" s="338" t="s">
        <v>686</v>
      </c>
    </row>
    <row r="73" spans="1:109" s="202" customFormat="1" ht="12.75" hidden="1" x14ac:dyDescent="0.2">
      <c r="A73" s="602">
        <v>1</v>
      </c>
      <c r="B73" s="602"/>
      <c r="C73" s="602"/>
      <c r="D73" s="602"/>
      <c r="E73" s="602"/>
      <c r="F73" s="602"/>
      <c r="G73" s="602">
        <v>2</v>
      </c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  <c r="AJ73" s="602"/>
      <c r="AK73" s="602"/>
      <c r="AL73" s="602"/>
      <c r="AM73" s="602"/>
      <c r="AN73" s="602"/>
      <c r="AO73" s="602"/>
      <c r="AP73" s="602"/>
      <c r="AQ73" s="602"/>
      <c r="AR73" s="602"/>
      <c r="AS73" s="602"/>
      <c r="AT73" s="602"/>
      <c r="AU73" s="602"/>
      <c r="AV73" s="602"/>
      <c r="AW73" s="602"/>
      <c r="AX73" s="602"/>
      <c r="AY73" s="602"/>
      <c r="AZ73" s="602"/>
      <c r="BA73" s="602"/>
      <c r="BB73" s="602"/>
      <c r="BC73" s="602"/>
      <c r="BD73" s="602"/>
      <c r="BE73" s="602"/>
      <c r="BF73" s="602"/>
      <c r="BG73" s="602"/>
      <c r="BH73" s="602"/>
      <c r="BI73" s="602"/>
      <c r="BJ73" s="602"/>
      <c r="BK73" s="602"/>
      <c r="BL73" s="602"/>
      <c r="BM73" s="602"/>
      <c r="BN73" s="602"/>
      <c r="BO73" s="602"/>
      <c r="BP73" s="602"/>
      <c r="BQ73" s="602"/>
      <c r="BR73" s="602"/>
      <c r="BS73" s="602"/>
      <c r="BT73" s="602"/>
      <c r="BU73" s="602"/>
      <c r="BV73" s="602"/>
      <c r="BW73" s="602">
        <v>3</v>
      </c>
      <c r="BX73" s="602"/>
      <c r="BY73" s="602"/>
      <c r="BZ73" s="602"/>
      <c r="CA73" s="602"/>
      <c r="CB73" s="602"/>
      <c r="CC73" s="602"/>
      <c r="CD73" s="602"/>
      <c r="CE73" s="602"/>
      <c r="CF73" s="602"/>
      <c r="CG73" s="602"/>
      <c r="CH73" s="602"/>
      <c r="CI73" s="602"/>
      <c r="CJ73" s="602"/>
      <c r="CK73" s="602"/>
      <c r="CL73" s="602"/>
      <c r="CM73" s="602">
        <v>4</v>
      </c>
      <c r="CN73" s="602"/>
      <c r="CO73" s="602"/>
      <c r="CP73" s="602"/>
      <c r="CQ73" s="602"/>
      <c r="CR73" s="602"/>
      <c r="CS73" s="602"/>
      <c r="CT73" s="602"/>
      <c r="CU73" s="602"/>
      <c r="CV73" s="602"/>
      <c r="CW73" s="602"/>
      <c r="CX73" s="602"/>
      <c r="CY73" s="602"/>
      <c r="CZ73" s="602"/>
      <c r="DA73" s="602"/>
    </row>
    <row r="74" spans="1:109" ht="15" hidden="1" customHeight="1" x14ac:dyDescent="0.25">
      <c r="A74" s="595" t="s">
        <v>521</v>
      </c>
      <c r="B74" s="595"/>
      <c r="C74" s="595"/>
      <c r="D74" s="595"/>
      <c r="E74" s="595"/>
      <c r="F74" s="595"/>
      <c r="G74" s="321"/>
      <c r="H74" s="612" t="s">
        <v>522</v>
      </c>
      <c r="I74" s="612"/>
      <c r="J74" s="612"/>
      <c r="K74" s="612"/>
      <c r="L74" s="612"/>
      <c r="M74" s="612"/>
      <c r="N74" s="612"/>
      <c r="O74" s="612"/>
      <c r="P74" s="612"/>
      <c r="Q74" s="612"/>
      <c r="R74" s="612"/>
      <c r="S74" s="612"/>
      <c r="T74" s="612"/>
      <c r="U74" s="612"/>
      <c r="V74" s="612"/>
      <c r="W74" s="612"/>
      <c r="X74" s="612"/>
      <c r="Y74" s="612"/>
      <c r="Z74" s="612"/>
      <c r="AA74" s="612"/>
      <c r="AB74" s="612"/>
      <c r="AC74" s="612"/>
      <c r="AD74" s="612"/>
      <c r="AE74" s="612"/>
      <c r="AF74" s="612"/>
      <c r="AG74" s="612"/>
      <c r="AH74" s="612"/>
      <c r="AI74" s="612"/>
      <c r="AJ74" s="612"/>
      <c r="AK74" s="612"/>
      <c r="AL74" s="612"/>
      <c r="AM74" s="612"/>
      <c r="AN74" s="612"/>
      <c r="AO74" s="612"/>
      <c r="AP74" s="612"/>
      <c r="AQ74" s="612"/>
      <c r="AR74" s="612"/>
      <c r="AS74" s="612"/>
      <c r="AT74" s="612"/>
      <c r="AU74" s="612"/>
      <c r="AV74" s="612"/>
      <c r="AW74" s="612"/>
      <c r="AX74" s="612"/>
      <c r="AY74" s="612"/>
      <c r="AZ74" s="612"/>
      <c r="BA74" s="612"/>
      <c r="BB74" s="612"/>
      <c r="BC74" s="612"/>
      <c r="BD74" s="612"/>
      <c r="BE74" s="612"/>
      <c r="BF74" s="612"/>
      <c r="BG74" s="612"/>
      <c r="BH74" s="612"/>
      <c r="BI74" s="612"/>
      <c r="BJ74" s="612"/>
      <c r="BK74" s="612"/>
      <c r="BL74" s="612"/>
      <c r="BM74" s="612"/>
      <c r="BN74" s="612"/>
      <c r="BO74" s="612"/>
      <c r="BP74" s="612"/>
      <c r="BQ74" s="612"/>
      <c r="BR74" s="612"/>
      <c r="BS74" s="612"/>
      <c r="BT74" s="612"/>
      <c r="BU74" s="612"/>
      <c r="BV74" s="613"/>
      <c r="BW74" s="597" t="s">
        <v>487</v>
      </c>
      <c r="BX74" s="597"/>
      <c r="BY74" s="597"/>
      <c r="BZ74" s="597"/>
      <c r="CA74" s="597"/>
      <c r="CB74" s="597"/>
      <c r="CC74" s="597"/>
      <c r="CD74" s="597"/>
      <c r="CE74" s="597"/>
      <c r="CF74" s="597"/>
      <c r="CG74" s="597"/>
      <c r="CH74" s="597"/>
      <c r="CI74" s="597"/>
      <c r="CJ74" s="597"/>
      <c r="CK74" s="597"/>
      <c r="CL74" s="597"/>
      <c r="CM74" s="597"/>
      <c r="CN74" s="597"/>
      <c r="CO74" s="597"/>
      <c r="CP74" s="597"/>
      <c r="CQ74" s="597"/>
      <c r="CR74" s="597"/>
      <c r="CS74" s="597"/>
      <c r="CT74" s="597"/>
      <c r="CU74" s="597"/>
      <c r="CV74" s="597"/>
      <c r="CW74" s="597"/>
      <c r="CX74" s="597"/>
      <c r="CY74" s="597"/>
      <c r="CZ74" s="597"/>
      <c r="DA74" s="597"/>
    </row>
    <row r="75" spans="1:109" s="202" customFormat="1" ht="12.75" hidden="1" x14ac:dyDescent="0.2">
      <c r="A75" s="614" t="s">
        <v>523</v>
      </c>
      <c r="B75" s="615"/>
      <c r="C75" s="615"/>
      <c r="D75" s="615"/>
      <c r="E75" s="615"/>
      <c r="F75" s="616"/>
      <c r="G75" s="322"/>
      <c r="H75" s="620" t="s">
        <v>215</v>
      </c>
      <c r="I75" s="620"/>
      <c r="J75" s="620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0"/>
      <c r="AF75" s="620"/>
      <c r="AG75" s="620"/>
      <c r="AH75" s="620"/>
      <c r="AI75" s="620"/>
      <c r="AJ75" s="620"/>
      <c r="AK75" s="620"/>
      <c r="AL75" s="620"/>
      <c r="AM75" s="620"/>
      <c r="AN75" s="620"/>
      <c r="AO75" s="620"/>
      <c r="AP75" s="620"/>
      <c r="AQ75" s="620"/>
      <c r="AR75" s="620"/>
      <c r="AS75" s="620"/>
      <c r="AT75" s="620"/>
      <c r="AU75" s="620"/>
      <c r="AV75" s="620"/>
      <c r="AW75" s="620"/>
      <c r="AX75" s="620"/>
      <c r="AY75" s="620"/>
      <c r="AZ75" s="620"/>
      <c r="BA75" s="620"/>
      <c r="BB75" s="620"/>
      <c r="BC75" s="620"/>
      <c r="BD75" s="620"/>
      <c r="BE75" s="620"/>
      <c r="BF75" s="620"/>
      <c r="BG75" s="620"/>
      <c r="BH75" s="620"/>
      <c r="BI75" s="620"/>
      <c r="BJ75" s="620"/>
      <c r="BK75" s="620"/>
      <c r="BL75" s="620"/>
      <c r="BM75" s="620"/>
      <c r="BN75" s="620"/>
      <c r="BO75" s="620"/>
      <c r="BP75" s="620"/>
      <c r="BQ75" s="620"/>
      <c r="BR75" s="620"/>
      <c r="BS75" s="620"/>
      <c r="BT75" s="620"/>
      <c r="BU75" s="620"/>
      <c r="BV75" s="621"/>
      <c r="BW75" s="792">
        <v>0</v>
      </c>
      <c r="BX75" s="793"/>
      <c r="BY75" s="793"/>
      <c r="BZ75" s="793"/>
      <c r="CA75" s="793"/>
      <c r="CB75" s="793"/>
      <c r="CC75" s="793"/>
      <c r="CD75" s="793"/>
      <c r="CE75" s="793"/>
      <c r="CF75" s="793"/>
      <c r="CG75" s="793"/>
      <c r="CH75" s="793"/>
      <c r="CI75" s="793"/>
      <c r="CJ75" s="793"/>
      <c r="CK75" s="793"/>
      <c r="CL75" s="794"/>
      <c r="CM75" s="628">
        <f>BW75*22%</f>
        <v>0</v>
      </c>
      <c r="CN75" s="629"/>
      <c r="CO75" s="629"/>
      <c r="CP75" s="629"/>
      <c r="CQ75" s="629"/>
      <c r="CR75" s="629"/>
      <c r="CS75" s="629"/>
      <c r="CT75" s="629"/>
      <c r="CU75" s="629"/>
      <c r="CV75" s="629"/>
      <c r="CW75" s="629"/>
      <c r="CX75" s="629"/>
      <c r="CY75" s="629"/>
      <c r="CZ75" s="629"/>
      <c r="DA75" s="630"/>
    </row>
    <row r="76" spans="1:109" s="202" customFormat="1" ht="12.75" hidden="1" x14ac:dyDescent="0.2">
      <c r="A76" s="617"/>
      <c r="B76" s="618"/>
      <c r="C76" s="618"/>
      <c r="D76" s="618"/>
      <c r="E76" s="618"/>
      <c r="F76" s="619"/>
      <c r="G76" s="323"/>
      <c r="H76" s="634" t="s">
        <v>524</v>
      </c>
      <c r="I76" s="634"/>
      <c r="J76" s="634"/>
      <c r="K76" s="634"/>
      <c r="L76" s="634"/>
      <c r="M76" s="634"/>
      <c r="N76" s="634"/>
      <c r="O76" s="634"/>
      <c r="P76" s="634"/>
      <c r="Q76" s="634"/>
      <c r="R76" s="634"/>
      <c r="S76" s="634"/>
      <c r="T76" s="634"/>
      <c r="U76" s="634"/>
      <c r="V76" s="634"/>
      <c r="W76" s="634"/>
      <c r="X76" s="634"/>
      <c r="Y76" s="634"/>
      <c r="Z76" s="634"/>
      <c r="AA76" s="634"/>
      <c r="AB76" s="634"/>
      <c r="AC76" s="634"/>
      <c r="AD76" s="634"/>
      <c r="AE76" s="634"/>
      <c r="AF76" s="634"/>
      <c r="AG76" s="634"/>
      <c r="AH76" s="634"/>
      <c r="AI76" s="634"/>
      <c r="AJ76" s="634"/>
      <c r="AK76" s="634"/>
      <c r="AL76" s="634"/>
      <c r="AM76" s="634"/>
      <c r="AN76" s="634"/>
      <c r="AO76" s="634"/>
      <c r="AP76" s="634"/>
      <c r="AQ76" s="634"/>
      <c r="AR76" s="634"/>
      <c r="AS76" s="634"/>
      <c r="AT76" s="634"/>
      <c r="AU76" s="634"/>
      <c r="AV76" s="634"/>
      <c r="AW76" s="634"/>
      <c r="AX76" s="634"/>
      <c r="AY76" s="634"/>
      <c r="AZ76" s="634"/>
      <c r="BA76" s="634"/>
      <c r="BB76" s="634"/>
      <c r="BC76" s="634"/>
      <c r="BD76" s="634"/>
      <c r="BE76" s="634"/>
      <c r="BF76" s="634"/>
      <c r="BG76" s="634"/>
      <c r="BH76" s="634"/>
      <c r="BI76" s="634"/>
      <c r="BJ76" s="634"/>
      <c r="BK76" s="634"/>
      <c r="BL76" s="634"/>
      <c r="BM76" s="634"/>
      <c r="BN76" s="634"/>
      <c r="BO76" s="634"/>
      <c r="BP76" s="634"/>
      <c r="BQ76" s="634"/>
      <c r="BR76" s="634"/>
      <c r="BS76" s="634"/>
      <c r="BT76" s="634"/>
      <c r="BU76" s="634"/>
      <c r="BV76" s="635"/>
      <c r="BW76" s="795"/>
      <c r="BX76" s="796"/>
      <c r="BY76" s="796"/>
      <c r="BZ76" s="796"/>
      <c r="CA76" s="796"/>
      <c r="CB76" s="796"/>
      <c r="CC76" s="796"/>
      <c r="CD76" s="796"/>
      <c r="CE76" s="796"/>
      <c r="CF76" s="796"/>
      <c r="CG76" s="796"/>
      <c r="CH76" s="796"/>
      <c r="CI76" s="796"/>
      <c r="CJ76" s="796"/>
      <c r="CK76" s="796"/>
      <c r="CL76" s="797"/>
      <c r="CM76" s="631"/>
      <c r="CN76" s="632"/>
      <c r="CO76" s="632"/>
      <c r="CP76" s="632"/>
      <c r="CQ76" s="632"/>
      <c r="CR76" s="632"/>
      <c r="CS76" s="632"/>
      <c r="CT76" s="632"/>
      <c r="CU76" s="632"/>
      <c r="CV76" s="632"/>
      <c r="CW76" s="632"/>
      <c r="CX76" s="632"/>
      <c r="CY76" s="632"/>
      <c r="CZ76" s="632"/>
      <c r="DA76" s="633"/>
      <c r="DE76" s="202">
        <v>211</v>
      </c>
    </row>
    <row r="77" spans="1:109" s="202" customFormat="1" ht="13.5" hidden="1" customHeight="1" x14ac:dyDescent="0.2">
      <c r="A77" s="595" t="s">
        <v>525</v>
      </c>
      <c r="B77" s="595"/>
      <c r="C77" s="595"/>
      <c r="D77" s="595"/>
      <c r="E77" s="595"/>
      <c r="F77" s="595"/>
      <c r="G77" s="321"/>
      <c r="H77" s="610" t="s">
        <v>526</v>
      </c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10"/>
      <c r="AK77" s="610"/>
      <c r="AL77" s="610"/>
      <c r="AM77" s="610"/>
      <c r="AN77" s="610"/>
      <c r="AO77" s="610"/>
      <c r="AP77" s="610"/>
      <c r="AQ77" s="610"/>
      <c r="AR77" s="610"/>
      <c r="AS77" s="610"/>
      <c r="AT77" s="610"/>
      <c r="AU77" s="610"/>
      <c r="AV77" s="610"/>
      <c r="AW77" s="610"/>
      <c r="AX77" s="610"/>
      <c r="AY77" s="610"/>
      <c r="AZ77" s="610"/>
      <c r="BA77" s="610"/>
      <c r="BB77" s="610"/>
      <c r="BC77" s="610"/>
      <c r="BD77" s="610"/>
      <c r="BE77" s="610"/>
      <c r="BF77" s="610"/>
      <c r="BG77" s="610"/>
      <c r="BH77" s="610"/>
      <c r="BI77" s="610"/>
      <c r="BJ77" s="610"/>
      <c r="BK77" s="610"/>
      <c r="BL77" s="610"/>
      <c r="BM77" s="610"/>
      <c r="BN77" s="610"/>
      <c r="BO77" s="610"/>
      <c r="BP77" s="610"/>
      <c r="BQ77" s="610"/>
      <c r="BR77" s="610"/>
      <c r="BS77" s="610"/>
      <c r="BT77" s="610"/>
      <c r="BU77" s="610"/>
      <c r="BV77" s="611"/>
      <c r="BW77" s="597"/>
      <c r="BX77" s="597"/>
      <c r="BY77" s="597"/>
      <c r="BZ77" s="597"/>
      <c r="CA77" s="597"/>
      <c r="CB77" s="597"/>
      <c r="CC77" s="597"/>
      <c r="CD77" s="597"/>
      <c r="CE77" s="597"/>
      <c r="CF77" s="597"/>
      <c r="CG77" s="597"/>
      <c r="CH77" s="597"/>
      <c r="CI77" s="597"/>
      <c r="CJ77" s="597"/>
      <c r="CK77" s="597"/>
      <c r="CL77" s="597"/>
      <c r="CM77" s="597"/>
      <c r="CN77" s="597"/>
      <c r="CO77" s="597"/>
      <c r="CP77" s="597"/>
      <c r="CQ77" s="597"/>
      <c r="CR77" s="597"/>
      <c r="CS77" s="597"/>
      <c r="CT77" s="597"/>
      <c r="CU77" s="597"/>
      <c r="CV77" s="597"/>
      <c r="CW77" s="597"/>
      <c r="CX77" s="597"/>
      <c r="CY77" s="597"/>
      <c r="CZ77" s="597"/>
      <c r="DA77" s="597"/>
    </row>
    <row r="78" spans="1:109" s="202" customFormat="1" ht="26.25" hidden="1" customHeight="1" x14ac:dyDescent="0.2">
      <c r="A78" s="595" t="s">
        <v>527</v>
      </c>
      <c r="B78" s="595"/>
      <c r="C78" s="595"/>
      <c r="D78" s="595"/>
      <c r="E78" s="595"/>
      <c r="F78" s="595"/>
      <c r="G78" s="321"/>
      <c r="H78" s="610" t="s">
        <v>528</v>
      </c>
      <c r="I78" s="610"/>
      <c r="J78" s="610"/>
      <c r="K78" s="610"/>
      <c r="L78" s="610"/>
      <c r="M78" s="610"/>
      <c r="N78" s="610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  <c r="AH78" s="610"/>
      <c r="AI78" s="610"/>
      <c r="AJ78" s="610"/>
      <c r="AK78" s="610"/>
      <c r="AL78" s="610"/>
      <c r="AM78" s="610"/>
      <c r="AN78" s="610"/>
      <c r="AO78" s="610"/>
      <c r="AP78" s="610"/>
      <c r="AQ78" s="610"/>
      <c r="AR78" s="610"/>
      <c r="AS78" s="610"/>
      <c r="AT78" s="610"/>
      <c r="AU78" s="610"/>
      <c r="AV78" s="610"/>
      <c r="AW78" s="610"/>
      <c r="AX78" s="610"/>
      <c r="AY78" s="610"/>
      <c r="AZ78" s="610"/>
      <c r="BA78" s="610"/>
      <c r="BB78" s="610"/>
      <c r="BC78" s="610"/>
      <c r="BD78" s="610"/>
      <c r="BE78" s="610"/>
      <c r="BF78" s="610"/>
      <c r="BG78" s="610"/>
      <c r="BH78" s="610"/>
      <c r="BI78" s="610"/>
      <c r="BJ78" s="610"/>
      <c r="BK78" s="610"/>
      <c r="BL78" s="610"/>
      <c r="BM78" s="610"/>
      <c r="BN78" s="610"/>
      <c r="BO78" s="610"/>
      <c r="BP78" s="610"/>
      <c r="BQ78" s="610"/>
      <c r="BR78" s="610"/>
      <c r="BS78" s="610"/>
      <c r="BT78" s="610"/>
      <c r="BU78" s="610"/>
      <c r="BV78" s="611"/>
      <c r="BW78" s="597"/>
      <c r="BX78" s="597"/>
      <c r="BY78" s="597"/>
      <c r="BZ78" s="597"/>
      <c r="CA78" s="597"/>
      <c r="CB78" s="597"/>
      <c r="CC78" s="597"/>
      <c r="CD78" s="597"/>
      <c r="CE78" s="597"/>
      <c r="CF78" s="597"/>
      <c r="CG78" s="597"/>
      <c r="CH78" s="597"/>
      <c r="CI78" s="597"/>
      <c r="CJ78" s="597"/>
      <c r="CK78" s="597"/>
      <c r="CL78" s="597"/>
      <c r="CM78" s="597"/>
      <c r="CN78" s="597"/>
      <c r="CO78" s="597"/>
      <c r="CP78" s="597"/>
      <c r="CQ78" s="597"/>
      <c r="CR78" s="597"/>
      <c r="CS78" s="597"/>
      <c r="CT78" s="597"/>
      <c r="CU78" s="597"/>
      <c r="CV78" s="597"/>
      <c r="CW78" s="597"/>
      <c r="CX78" s="597"/>
      <c r="CY78" s="597"/>
      <c r="CZ78" s="597"/>
      <c r="DA78" s="597"/>
      <c r="DE78" s="327">
        <f>ROUND((52200*100/130.2),-2)</f>
        <v>40100</v>
      </c>
    </row>
    <row r="79" spans="1:109" s="202" customFormat="1" ht="26.25" hidden="1" customHeight="1" x14ac:dyDescent="0.2">
      <c r="A79" s="595" t="s">
        <v>529</v>
      </c>
      <c r="B79" s="595"/>
      <c r="C79" s="595"/>
      <c r="D79" s="595"/>
      <c r="E79" s="595"/>
      <c r="F79" s="595"/>
      <c r="G79" s="321"/>
      <c r="H79" s="612" t="s">
        <v>530</v>
      </c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2"/>
      <c r="W79" s="612"/>
      <c r="X79" s="612"/>
      <c r="Y79" s="612"/>
      <c r="Z79" s="612"/>
      <c r="AA79" s="612"/>
      <c r="AB79" s="612"/>
      <c r="AC79" s="612"/>
      <c r="AD79" s="612"/>
      <c r="AE79" s="612"/>
      <c r="AF79" s="612"/>
      <c r="AG79" s="612"/>
      <c r="AH79" s="612"/>
      <c r="AI79" s="612"/>
      <c r="AJ79" s="612"/>
      <c r="AK79" s="612"/>
      <c r="AL79" s="612"/>
      <c r="AM79" s="612"/>
      <c r="AN79" s="612"/>
      <c r="AO79" s="612"/>
      <c r="AP79" s="612"/>
      <c r="AQ79" s="612"/>
      <c r="AR79" s="612"/>
      <c r="AS79" s="612"/>
      <c r="AT79" s="612"/>
      <c r="AU79" s="612"/>
      <c r="AV79" s="612"/>
      <c r="AW79" s="612"/>
      <c r="AX79" s="612"/>
      <c r="AY79" s="612"/>
      <c r="AZ79" s="612"/>
      <c r="BA79" s="612"/>
      <c r="BB79" s="612"/>
      <c r="BC79" s="612"/>
      <c r="BD79" s="612"/>
      <c r="BE79" s="612"/>
      <c r="BF79" s="612"/>
      <c r="BG79" s="612"/>
      <c r="BH79" s="612"/>
      <c r="BI79" s="612"/>
      <c r="BJ79" s="612"/>
      <c r="BK79" s="612"/>
      <c r="BL79" s="612"/>
      <c r="BM79" s="612"/>
      <c r="BN79" s="612"/>
      <c r="BO79" s="612"/>
      <c r="BP79" s="612"/>
      <c r="BQ79" s="612"/>
      <c r="BR79" s="612"/>
      <c r="BS79" s="612"/>
      <c r="BT79" s="612"/>
      <c r="BU79" s="612"/>
      <c r="BV79" s="613"/>
      <c r="BW79" s="597" t="s">
        <v>487</v>
      </c>
      <c r="BX79" s="597"/>
      <c r="BY79" s="597"/>
      <c r="BZ79" s="597"/>
      <c r="CA79" s="597"/>
      <c r="CB79" s="597"/>
      <c r="CC79" s="597"/>
      <c r="CD79" s="597"/>
      <c r="CE79" s="597"/>
      <c r="CF79" s="597"/>
      <c r="CG79" s="597"/>
      <c r="CH79" s="597"/>
      <c r="CI79" s="597"/>
      <c r="CJ79" s="597"/>
      <c r="CK79" s="597"/>
      <c r="CL79" s="597"/>
      <c r="CM79" s="597"/>
      <c r="CN79" s="597"/>
      <c r="CO79" s="597"/>
      <c r="CP79" s="597"/>
      <c r="CQ79" s="597"/>
      <c r="CR79" s="597"/>
      <c r="CS79" s="597"/>
      <c r="CT79" s="597"/>
      <c r="CU79" s="597"/>
      <c r="CV79" s="597"/>
      <c r="CW79" s="597"/>
      <c r="CX79" s="597"/>
      <c r="CY79" s="597"/>
      <c r="CZ79" s="597"/>
      <c r="DA79" s="597"/>
    </row>
    <row r="80" spans="1:109" s="202" customFormat="1" ht="12.75" hidden="1" x14ac:dyDescent="0.2">
      <c r="A80" s="614" t="s">
        <v>531</v>
      </c>
      <c r="B80" s="615"/>
      <c r="C80" s="615"/>
      <c r="D80" s="615"/>
      <c r="E80" s="615"/>
      <c r="F80" s="616"/>
      <c r="G80" s="322"/>
      <c r="H80" s="620" t="s">
        <v>215</v>
      </c>
      <c r="I80" s="620"/>
      <c r="J80" s="620"/>
      <c r="K80" s="620"/>
      <c r="L80" s="620"/>
      <c r="M80" s="620"/>
      <c r="N80" s="620"/>
      <c r="O80" s="620"/>
      <c r="P80" s="620"/>
      <c r="Q80" s="620"/>
      <c r="R80" s="620"/>
      <c r="S80" s="620"/>
      <c r="T80" s="620"/>
      <c r="U80" s="620"/>
      <c r="V80" s="620"/>
      <c r="W80" s="620"/>
      <c r="X80" s="620"/>
      <c r="Y80" s="620"/>
      <c r="Z80" s="620"/>
      <c r="AA80" s="620"/>
      <c r="AB80" s="620"/>
      <c r="AC80" s="620"/>
      <c r="AD80" s="620"/>
      <c r="AE80" s="620"/>
      <c r="AF80" s="620"/>
      <c r="AG80" s="620"/>
      <c r="AH80" s="620"/>
      <c r="AI80" s="620"/>
      <c r="AJ80" s="620"/>
      <c r="AK80" s="620"/>
      <c r="AL80" s="620"/>
      <c r="AM80" s="620"/>
      <c r="AN80" s="620"/>
      <c r="AO80" s="620"/>
      <c r="AP80" s="620"/>
      <c r="AQ80" s="620"/>
      <c r="AR80" s="620"/>
      <c r="AS80" s="620"/>
      <c r="AT80" s="620"/>
      <c r="AU80" s="620"/>
      <c r="AV80" s="620"/>
      <c r="AW80" s="620"/>
      <c r="AX80" s="620"/>
      <c r="AY80" s="620"/>
      <c r="AZ80" s="620"/>
      <c r="BA80" s="620"/>
      <c r="BB80" s="620"/>
      <c r="BC80" s="620"/>
      <c r="BD80" s="620"/>
      <c r="BE80" s="620"/>
      <c r="BF80" s="620"/>
      <c r="BG80" s="620"/>
      <c r="BH80" s="620"/>
      <c r="BI80" s="620"/>
      <c r="BJ80" s="620"/>
      <c r="BK80" s="620"/>
      <c r="BL80" s="620"/>
      <c r="BM80" s="620"/>
      <c r="BN80" s="620"/>
      <c r="BO80" s="620"/>
      <c r="BP80" s="620"/>
      <c r="BQ80" s="620"/>
      <c r="BR80" s="620"/>
      <c r="BS80" s="620"/>
      <c r="BT80" s="620"/>
      <c r="BU80" s="620"/>
      <c r="BV80" s="621"/>
      <c r="BW80" s="628">
        <f>BW75</f>
        <v>0</v>
      </c>
      <c r="BX80" s="636"/>
      <c r="BY80" s="636"/>
      <c r="BZ80" s="636"/>
      <c r="CA80" s="636"/>
      <c r="CB80" s="636"/>
      <c r="CC80" s="636"/>
      <c r="CD80" s="636"/>
      <c r="CE80" s="636"/>
      <c r="CF80" s="636"/>
      <c r="CG80" s="636"/>
      <c r="CH80" s="636"/>
      <c r="CI80" s="636"/>
      <c r="CJ80" s="636"/>
      <c r="CK80" s="636"/>
      <c r="CL80" s="637"/>
      <c r="CM80" s="628">
        <f>BW80*2.9%</f>
        <v>0</v>
      </c>
      <c r="CN80" s="629"/>
      <c r="CO80" s="629"/>
      <c r="CP80" s="629"/>
      <c r="CQ80" s="629"/>
      <c r="CR80" s="629"/>
      <c r="CS80" s="629"/>
      <c r="CT80" s="629"/>
      <c r="CU80" s="629"/>
      <c r="CV80" s="629"/>
      <c r="CW80" s="629"/>
      <c r="CX80" s="629"/>
      <c r="CY80" s="629"/>
      <c r="CZ80" s="629"/>
      <c r="DA80" s="630"/>
    </row>
    <row r="81" spans="1:109" s="202" customFormat="1" ht="25.5" hidden="1" customHeight="1" x14ac:dyDescent="0.2">
      <c r="A81" s="617"/>
      <c r="B81" s="618"/>
      <c r="C81" s="618"/>
      <c r="D81" s="618"/>
      <c r="E81" s="618"/>
      <c r="F81" s="619"/>
      <c r="G81" s="323"/>
      <c r="H81" s="634" t="s">
        <v>532</v>
      </c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4"/>
      <c r="T81" s="634"/>
      <c r="U81" s="634"/>
      <c r="V81" s="634"/>
      <c r="W81" s="634"/>
      <c r="X81" s="634"/>
      <c r="Y81" s="634"/>
      <c r="Z81" s="634"/>
      <c r="AA81" s="634"/>
      <c r="AB81" s="634"/>
      <c r="AC81" s="634"/>
      <c r="AD81" s="634"/>
      <c r="AE81" s="634"/>
      <c r="AF81" s="634"/>
      <c r="AG81" s="634"/>
      <c r="AH81" s="634"/>
      <c r="AI81" s="634"/>
      <c r="AJ81" s="634"/>
      <c r="AK81" s="634"/>
      <c r="AL81" s="634"/>
      <c r="AM81" s="634"/>
      <c r="AN81" s="634"/>
      <c r="AO81" s="634"/>
      <c r="AP81" s="634"/>
      <c r="AQ81" s="634"/>
      <c r="AR81" s="634"/>
      <c r="AS81" s="634"/>
      <c r="AT81" s="634"/>
      <c r="AU81" s="634"/>
      <c r="AV81" s="634"/>
      <c r="AW81" s="634"/>
      <c r="AX81" s="634"/>
      <c r="AY81" s="634"/>
      <c r="AZ81" s="634"/>
      <c r="BA81" s="634"/>
      <c r="BB81" s="634"/>
      <c r="BC81" s="634"/>
      <c r="BD81" s="634"/>
      <c r="BE81" s="634"/>
      <c r="BF81" s="634"/>
      <c r="BG81" s="634"/>
      <c r="BH81" s="634"/>
      <c r="BI81" s="634"/>
      <c r="BJ81" s="634"/>
      <c r="BK81" s="634"/>
      <c r="BL81" s="634"/>
      <c r="BM81" s="634"/>
      <c r="BN81" s="634"/>
      <c r="BO81" s="634"/>
      <c r="BP81" s="634"/>
      <c r="BQ81" s="634"/>
      <c r="BR81" s="634"/>
      <c r="BS81" s="634"/>
      <c r="BT81" s="634"/>
      <c r="BU81" s="634"/>
      <c r="BV81" s="635"/>
      <c r="BW81" s="638"/>
      <c r="BX81" s="639"/>
      <c r="BY81" s="639"/>
      <c r="BZ81" s="639"/>
      <c r="CA81" s="639"/>
      <c r="CB81" s="639"/>
      <c r="CC81" s="639"/>
      <c r="CD81" s="639"/>
      <c r="CE81" s="639"/>
      <c r="CF81" s="639"/>
      <c r="CG81" s="639"/>
      <c r="CH81" s="639"/>
      <c r="CI81" s="639"/>
      <c r="CJ81" s="639"/>
      <c r="CK81" s="639"/>
      <c r="CL81" s="640"/>
      <c r="CM81" s="631"/>
      <c r="CN81" s="632"/>
      <c r="CO81" s="632"/>
      <c r="CP81" s="632"/>
      <c r="CQ81" s="632"/>
      <c r="CR81" s="632"/>
      <c r="CS81" s="632"/>
      <c r="CT81" s="632"/>
      <c r="CU81" s="632"/>
      <c r="CV81" s="632"/>
      <c r="CW81" s="632"/>
      <c r="CX81" s="632"/>
      <c r="CY81" s="632"/>
      <c r="CZ81" s="632"/>
      <c r="DA81" s="633"/>
      <c r="DE81" s="327">
        <f>BW75+CM87</f>
        <v>0</v>
      </c>
    </row>
    <row r="82" spans="1:109" s="202" customFormat="1" ht="26.25" hidden="1" customHeight="1" x14ac:dyDescent="0.2">
      <c r="A82" s="595" t="s">
        <v>533</v>
      </c>
      <c r="B82" s="595"/>
      <c r="C82" s="595"/>
      <c r="D82" s="595"/>
      <c r="E82" s="595"/>
      <c r="F82" s="595"/>
      <c r="G82" s="321"/>
      <c r="H82" s="610" t="s">
        <v>534</v>
      </c>
      <c r="I82" s="610"/>
      <c r="J82" s="610"/>
      <c r="K82" s="610"/>
      <c r="L82" s="610"/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10"/>
      <c r="AH82" s="610"/>
      <c r="AI82" s="610"/>
      <c r="AJ82" s="610"/>
      <c r="AK82" s="610"/>
      <c r="AL82" s="610"/>
      <c r="AM82" s="610"/>
      <c r="AN82" s="610"/>
      <c r="AO82" s="610"/>
      <c r="AP82" s="610"/>
      <c r="AQ82" s="610"/>
      <c r="AR82" s="610"/>
      <c r="AS82" s="610"/>
      <c r="AT82" s="610"/>
      <c r="AU82" s="610"/>
      <c r="AV82" s="610"/>
      <c r="AW82" s="610"/>
      <c r="AX82" s="610"/>
      <c r="AY82" s="610"/>
      <c r="AZ82" s="610"/>
      <c r="BA82" s="610"/>
      <c r="BB82" s="610"/>
      <c r="BC82" s="610"/>
      <c r="BD82" s="610"/>
      <c r="BE82" s="610"/>
      <c r="BF82" s="610"/>
      <c r="BG82" s="610"/>
      <c r="BH82" s="610"/>
      <c r="BI82" s="610"/>
      <c r="BJ82" s="610"/>
      <c r="BK82" s="610"/>
      <c r="BL82" s="610"/>
      <c r="BM82" s="610"/>
      <c r="BN82" s="610"/>
      <c r="BO82" s="610"/>
      <c r="BP82" s="610"/>
      <c r="BQ82" s="610"/>
      <c r="BR82" s="610"/>
      <c r="BS82" s="610"/>
      <c r="BT82" s="610"/>
      <c r="BU82" s="610"/>
      <c r="BV82" s="611"/>
      <c r="BW82" s="597"/>
      <c r="BX82" s="597"/>
      <c r="BY82" s="597"/>
      <c r="BZ82" s="597"/>
      <c r="CA82" s="597"/>
      <c r="CB82" s="597"/>
      <c r="CC82" s="597"/>
      <c r="CD82" s="597"/>
      <c r="CE82" s="597"/>
      <c r="CF82" s="597"/>
      <c r="CG82" s="597"/>
      <c r="CH82" s="597"/>
      <c r="CI82" s="597"/>
      <c r="CJ82" s="597"/>
      <c r="CK82" s="597"/>
      <c r="CL82" s="597"/>
      <c r="CM82" s="597"/>
      <c r="CN82" s="597"/>
      <c r="CO82" s="597"/>
      <c r="CP82" s="597"/>
      <c r="CQ82" s="597"/>
      <c r="CR82" s="597"/>
      <c r="CS82" s="597"/>
      <c r="CT82" s="597"/>
      <c r="CU82" s="597"/>
      <c r="CV82" s="597"/>
      <c r="CW82" s="597"/>
      <c r="CX82" s="597"/>
      <c r="CY82" s="597"/>
      <c r="CZ82" s="597"/>
      <c r="DA82" s="597"/>
    </row>
    <row r="83" spans="1:109" s="202" customFormat="1" ht="27" hidden="1" customHeight="1" x14ac:dyDescent="0.2">
      <c r="A83" s="595" t="s">
        <v>535</v>
      </c>
      <c r="B83" s="595"/>
      <c r="C83" s="595"/>
      <c r="D83" s="595"/>
      <c r="E83" s="595"/>
      <c r="F83" s="595"/>
      <c r="G83" s="321"/>
      <c r="H83" s="610" t="s">
        <v>536</v>
      </c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10"/>
      <c r="AK83" s="610"/>
      <c r="AL83" s="610"/>
      <c r="AM83" s="610"/>
      <c r="AN83" s="610"/>
      <c r="AO83" s="610"/>
      <c r="AP83" s="610"/>
      <c r="AQ83" s="610"/>
      <c r="AR83" s="610"/>
      <c r="AS83" s="610"/>
      <c r="AT83" s="610"/>
      <c r="AU83" s="610"/>
      <c r="AV83" s="610"/>
      <c r="AW83" s="610"/>
      <c r="AX83" s="610"/>
      <c r="AY83" s="610"/>
      <c r="AZ83" s="610"/>
      <c r="BA83" s="610"/>
      <c r="BB83" s="610"/>
      <c r="BC83" s="610"/>
      <c r="BD83" s="610"/>
      <c r="BE83" s="610"/>
      <c r="BF83" s="610"/>
      <c r="BG83" s="610"/>
      <c r="BH83" s="610"/>
      <c r="BI83" s="610"/>
      <c r="BJ83" s="610"/>
      <c r="BK83" s="610"/>
      <c r="BL83" s="610"/>
      <c r="BM83" s="610"/>
      <c r="BN83" s="610"/>
      <c r="BO83" s="610"/>
      <c r="BP83" s="610"/>
      <c r="BQ83" s="610"/>
      <c r="BR83" s="610"/>
      <c r="BS83" s="610"/>
      <c r="BT83" s="610"/>
      <c r="BU83" s="610"/>
      <c r="BV83" s="611"/>
      <c r="BW83" s="601">
        <f>BW75</f>
        <v>0</v>
      </c>
      <c r="BX83" s="597"/>
      <c r="BY83" s="597"/>
      <c r="BZ83" s="597"/>
      <c r="CA83" s="597"/>
      <c r="CB83" s="597"/>
      <c r="CC83" s="597"/>
      <c r="CD83" s="597"/>
      <c r="CE83" s="597"/>
      <c r="CF83" s="597"/>
      <c r="CG83" s="597"/>
      <c r="CH83" s="597"/>
      <c r="CI83" s="597"/>
      <c r="CJ83" s="597"/>
      <c r="CK83" s="597"/>
      <c r="CL83" s="597"/>
      <c r="CM83" s="601">
        <f>BW83*0.2%</f>
        <v>0</v>
      </c>
      <c r="CN83" s="601"/>
      <c r="CO83" s="601"/>
      <c r="CP83" s="601"/>
      <c r="CQ83" s="601"/>
      <c r="CR83" s="601"/>
      <c r="CS83" s="601"/>
      <c r="CT83" s="601"/>
      <c r="CU83" s="601"/>
      <c r="CV83" s="601"/>
      <c r="CW83" s="601"/>
      <c r="CX83" s="601"/>
      <c r="CY83" s="601"/>
      <c r="CZ83" s="601"/>
      <c r="DA83" s="601"/>
    </row>
    <row r="84" spans="1:109" s="202" customFormat="1" ht="27" hidden="1" customHeight="1" x14ac:dyDescent="0.2">
      <c r="A84" s="595" t="s">
        <v>537</v>
      </c>
      <c r="B84" s="595"/>
      <c r="C84" s="595"/>
      <c r="D84" s="595"/>
      <c r="E84" s="595"/>
      <c r="F84" s="595"/>
      <c r="G84" s="321"/>
      <c r="H84" s="610" t="s">
        <v>538</v>
      </c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  <c r="AH84" s="610"/>
      <c r="AI84" s="610"/>
      <c r="AJ84" s="610"/>
      <c r="AK84" s="610"/>
      <c r="AL84" s="610"/>
      <c r="AM84" s="610"/>
      <c r="AN84" s="610"/>
      <c r="AO84" s="610"/>
      <c r="AP84" s="610"/>
      <c r="AQ84" s="610"/>
      <c r="AR84" s="610"/>
      <c r="AS84" s="610"/>
      <c r="AT84" s="610"/>
      <c r="AU84" s="610"/>
      <c r="AV84" s="610"/>
      <c r="AW84" s="610"/>
      <c r="AX84" s="610"/>
      <c r="AY84" s="610"/>
      <c r="AZ84" s="610"/>
      <c r="BA84" s="610"/>
      <c r="BB84" s="610"/>
      <c r="BC84" s="610"/>
      <c r="BD84" s="610"/>
      <c r="BE84" s="610"/>
      <c r="BF84" s="610"/>
      <c r="BG84" s="610"/>
      <c r="BH84" s="610"/>
      <c r="BI84" s="610"/>
      <c r="BJ84" s="610"/>
      <c r="BK84" s="610"/>
      <c r="BL84" s="610"/>
      <c r="BM84" s="610"/>
      <c r="BN84" s="610"/>
      <c r="BO84" s="610"/>
      <c r="BP84" s="610"/>
      <c r="BQ84" s="610"/>
      <c r="BR84" s="610"/>
      <c r="BS84" s="610"/>
      <c r="BT84" s="610"/>
      <c r="BU84" s="610"/>
      <c r="BV84" s="611"/>
      <c r="BW84" s="597"/>
      <c r="BX84" s="597"/>
      <c r="BY84" s="597"/>
      <c r="BZ84" s="597"/>
      <c r="CA84" s="597"/>
      <c r="CB84" s="597"/>
      <c r="CC84" s="597"/>
      <c r="CD84" s="597"/>
      <c r="CE84" s="597"/>
      <c r="CF84" s="597"/>
      <c r="CG84" s="597"/>
      <c r="CH84" s="597"/>
      <c r="CI84" s="597"/>
      <c r="CJ84" s="597"/>
      <c r="CK84" s="597"/>
      <c r="CL84" s="597"/>
      <c r="CM84" s="597"/>
      <c r="CN84" s="597"/>
      <c r="CO84" s="597"/>
      <c r="CP84" s="597"/>
      <c r="CQ84" s="597"/>
      <c r="CR84" s="597"/>
      <c r="CS84" s="597"/>
      <c r="CT84" s="597"/>
      <c r="CU84" s="597"/>
      <c r="CV84" s="597"/>
      <c r="CW84" s="597"/>
      <c r="CX84" s="597"/>
      <c r="CY84" s="597"/>
      <c r="CZ84" s="597"/>
      <c r="DA84" s="597"/>
    </row>
    <row r="85" spans="1:109" s="202" customFormat="1" ht="27" hidden="1" customHeight="1" x14ac:dyDescent="0.2">
      <c r="A85" s="595" t="s">
        <v>539</v>
      </c>
      <c r="B85" s="595"/>
      <c r="C85" s="595"/>
      <c r="D85" s="595"/>
      <c r="E85" s="595"/>
      <c r="F85" s="595"/>
      <c r="G85" s="321"/>
      <c r="H85" s="610" t="s">
        <v>538</v>
      </c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  <c r="AH85" s="610"/>
      <c r="AI85" s="610"/>
      <c r="AJ85" s="610"/>
      <c r="AK85" s="610"/>
      <c r="AL85" s="610"/>
      <c r="AM85" s="610"/>
      <c r="AN85" s="610"/>
      <c r="AO85" s="610"/>
      <c r="AP85" s="610"/>
      <c r="AQ85" s="610"/>
      <c r="AR85" s="610"/>
      <c r="AS85" s="610"/>
      <c r="AT85" s="610"/>
      <c r="AU85" s="610"/>
      <c r="AV85" s="610"/>
      <c r="AW85" s="610"/>
      <c r="AX85" s="610"/>
      <c r="AY85" s="610"/>
      <c r="AZ85" s="610"/>
      <c r="BA85" s="610"/>
      <c r="BB85" s="610"/>
      <c r="BC85" s="610"/>
      <c r="BD85" s="610"/>
      <c r="BE85" s="610"/>
      <c r="BF85" s="610"/>
      <c r="BG85" s="610"/>
      <c r="BH85" s="610"/>
      <c r="BI85" s="610"/>
      <c r="BJ85" s="610"/>
      <c r="BK85" s="610"/>
      <c r="BL85" s="610"/>
      <c r="BM85" s="610"/>
      <c r="BN85" s="610"/>
      <c r="BO85" s="610"/>
      <c r="BP85" s="610"/>
      <c r="BQ85" s="610"/>
      <c r="BR85" s="610"/>
      <c r="BS85" s="610"/>
      <c r="BT85" s="610"/>
      <c r="BU85" s="610"/>
      <c r="BV85" s="611"/>
      <c r="BW85" s="597"/>
      <c r="BX85" s="597"/>
      <c r="BY85" s="597"/>
      <c r="BZ85" s="597"/>
      <c r="CA85" s="597"/>
      <c r="CB85" s="597"/>
      <c r="CC85" s="597"/>
      <c r="CD85" s="597"/>
      <c r="CE85" s="597"/>
      <c r="CF85" s="597"/>
      <c r="CG85" s="597"/>
      <c r="CH85" s="597"/>
      <c r="CI85" s="597"/>
      <c r="CJ85" s="597"/>
      <c r="CK85" s="597"/>
      <c r="CL85" s="597"/>
      <c r="CM85" s="597"/>
      <c r="CN85" s="597"/>
      <c r="CO85" s="597"/>
      <c r="CP85" s="597"/>
      <c r="CQ85" s="597"/>
      <c r="CR85" s="597"/>
      <c r="CS85" s="597"/>
      <c r="CT85" s="597"/>
      <c r="CU85" s="597"/>
      <c r="CV85" s="597"/>
      <c r="CW85" s="597"/>
      <c r="CX85" s="597"/>
      <c r="CY85" s="597"/>
      <c r="CZ85" s="597"/>
      <c r="DA85" s="597"/>
    </row>
    <row r="86" spans="1:109" s="202" customFormat="1" ht="26.25" hidden="1" customHeight="1" x14ac:dyDescent="0.2">
      <c r="A86" s="595" t="s">
        <v>540</v>
      </c>
      <c r="B86" s="595"/>
      <c r="C86" s="595"/>
      <c r="D86" s="595"/>
      <c r="E86" s="595"/>
      <c r="F86" s="595"/>
      <c r="G86" s="321"/>
      <c r="H86" s="612" t="s">
        <v>541</v>
      </c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2"/>
      <c r="AQ86" s="612"/>
      <c r="AR86" s="612"/>
      <c r="AS86" s="612"/>
      <c r="AT86" s="612"/>
      <c r="AU86" s="612"/>
      <c r="AV86" s="612"/>
      <c r="AW86" s="612"/>
      <c r="AX86" s="612"/>
      <c r="AY86" s="612"/>
      <c r="AZ86" s="612"/>
      <c r="BA86" s="612"/>
      <c r="BB86" s="612"/>
      <c r="BC86" s="612"/>
      <c r="BD86" s="612"/>
      <c r="BE86" s="612"/>
      <c r="BF86" s="612"/>
      <c r="BG86" s="612"/>
      <c r="BH86" s="612"/>
      <c r="BI86" s="612"/>
      <c r="BJ86" s="612"/>
      <c r="BK86" s="612"/>
      <c r="BL86" s="612"/>
      <c r="BM86" s="612"/>
      <c r="BN86" s="612"/>
      <c r="BO86" s="612"/>
      <c r="BP86" s="612"/>
      <c r="BQ86" s="612"/>
      <c r="BR86" s="612"/>
      <c r="BS86" s="612"/>
      <c r="BT86" s="612"/>
      <c r="BU86" s="612"/>
      <c r="BV86" s="613"/>
      <c r="BW86" s="601">
        <f>BW83</f>
        <v>0</v>
      </c>
      <c r="BX86" s="597"/>
      <c r="BY86" s="597"/>
      <c r="BZ86" s="597"/>
      <c r="CA86" s="597"/>
      <c r="CB86" s="597"/>
      <c r="CC86" s="597"/>
      <c r="CD86" s="597"/>
      <c r="CE86" s="597"/>
      <c r="CF86" s="597"/>
      <c r="CG86" s="597"/>
      <c r="CH86" s="597"/>
      <c r="CI86" s="597"/>
      <c r="CJ86" s="597"/>
      <c r="CK86" s="597"/>
      <c r="CL86" s="597"/>
      <c r="CM86" s="601">
        <f>BW86*5.1%</f>
        <v>0</v>
      </c>
      <c r="CN86" s="601"/>
      <c r="CO86" s="601"/>
      <c r="CP86" s="601"/>
      <c r="CQ86" s="601"/>
      <c r="CR86" s="601"/>
      <c r="CS86" s="601"/>
      <c r="CT86" s="601"/>
      <c r="CU86" s="601"/>
      <c r="CV86" s="601"/>
      <c r="CW86" s="601"/>
      <c r="CX86" s="601"/>
      <c r="CY86" s="601"/>
      <c r="CZ86" s="601"/>
      <c r="DA86" s="601"/>
    </row>
    <row r="87" spans="1:109" s="202" customFormat="1" ht="13.5" hidden="1" customHeight="1" x14ac:dyDescent="0.2">
      <c r="A87" s="595"/>
      <c r="B87" s="595"/>
      <c r="C87" s="595"/>
      <c r="D87" s="595"/>
      <c r="E87" s="595"/>
      <c r="F87" s="595"/>
      <c r="G87" s="643" t="s">
        <v>610</v>
      </c>
      <c r="H87" s="606"/>
      <c r="I87" s="606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6"/>
      <c r="AQ87" s="606"/>
      <c r="AR87" s="606"/>
      <c r="AS87" s="606"/>
      <c r="AT87" s="606"/>
      <c r="AU87" s="606"/>
      <c r="AV87" s="606"/>
      <c r="AW87" s="606"/>
      <c r="AX87" s="606"/>
      <c r="AY87" s="606"/>
      <c r="AZ87" s="606"/>
      <c r="BA87" s="606"/>
      <c r="BB87" s="606"/>
      <c r="BC87" s="606"/>
      <c r="BD87" s="606"/>
      <c r="BE87" s="606"/>
      <c r="BF87" s="606"/>
      <c r="BG87" s="606"/>
      <c r="BH87" s="606"/>
      <c r="BI87" s="606"/>
      <c r="BJ87" s="606"/>
      <c r="BK87" s="606"/>
      <c r="BL87" s="606"/>
      <c r="BM87" s="606"/>
      <c r="BN87" s="606"/>
      <c r="BO87" s="606"/>
      <c r="BP87" s="606"/>
      <c r="BQ87" s="606"/>
      <c r="BR87" s="606"/>
      <c r="BS87" s="606"/>
      <c r="BT87" s="606"/>
      <c r="BU87" s="606"/>
      <c r="BV87" s="607"/>
      <c r="BW87" s="597" t="s">
        <v>487</v>
      </c>
      <c r="BX87" s="597"/>
      <c r="BY87" s="597"/>
      <c r="BZ87" s="597"/>
      <c r="CA87" s="597"/>
      <c r="CB87" s="597"/>
      <c r="CC87" s="597"/>
      <c r="CD87" s="597"/>
      <c r="CE87" s="597"/>
      <c r="CF87" s="597"/>
      <c r="CG87" s="597"/>
      <c r="CH87" s="597"/>
      <c r="CI87" s="597"/>
      <c r="CJ87" s="597"/>
      <c r="CK87" s="597"/>
      <c r="CL87" s="597"/>
      <c r="CM87" s="608">
        <f>SUM(CM75:DA86)</f>
        <v>0</v>
      </c>
      <c r="CN87" s="646"/>
      <c r="CO87" s="646"/>
      <c r="CP87" s="646"/>
      <c r="CQ87" s="646"/>
      <c r="CR87" s="646"/>
      <c r="CS87" s="646"/>
      <c r="CT87" s="646"/>
      <c r="CU87" s="646"/>
      <c r="CV87" s="646"/>
      <c r="CW87" s="646"/>
      <c r="CX87" s="646"/>
      <c r="CY87" s="646"/>
      <c r="CZ87" s="646"/>
      <c r="DA87" s="646"/>
      <c r="DE87" s="202">
        <v>213</v>
      </c>
    </row>
    <row r="88" spans="1:109" s="150" customFormat="1" ht="48" hidden="1" customHeight="1" x14ac:dyDescent="0.2">
      <c r="A88" s="801" t="s">
        <v>687</v>
      </c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  <c r="O88" s="802"/>
      <c r="P88" s="802"/>
      <c r="Q88" s="802"/>
      <c r="R88" s="802"/>
      <c r="S88" s="802"/>
      <c r="T88" s="802"/>
      <c r="U88" s="802"/>
      <c r="V88" s="802"/>
      <c r="W88" s="802"/>
      <c r="X88" s="802"/>
      <c r="Y88" s="802"/>
      <c r="Z88" s="802"/>
      <c r="AA88" s="802"/>
      <c r="AB88" s="802"/>
      <c r="AC88" s="802"/>
      <c r="AD88" s="802"/>
      <c r="AE88" s="802"/>
      <c r="AF88" s="802"/>
      <c r="AG88" s="802"/>
      <c r="AH88" s="802"/>
      <c r="AI88" s="802"/>
      <c r="AJ88" s="802"/>
      <c r="AK88" s="802"/>
      <c r="AL88" s="802"/>
      <c r="AM88" s="802"/>
      <c r="AN88" s="802"/>
      <c r="AO88" s="802"/>
      <c r="AP88" s="802"/>
      <c r="AQ88" s="802"/>
      <c r="AR88" s="802"/>
      <c r="AS88" s="802"/>
      <c r="AT88" s="802"/>
      <c r="AU88" s="802"/>
      <c r="AV88" s="802"/>
      <c r="AW88" s="802"/>
      <c r="AX88" s="802"/>
      <c r="AY88" s="802"/>
      <c r="AZ88" s="802"/>
      <c r="BA88" s="802"/>
      <c r="BB88" s="802"/>
      <c r="BC88" s="802"/>
      <c r="BD88" s="802"/>
      <c r="BE88" s="802"/>
      <c r="BF88" s="802"/>
      <c r="BG88" s="802"/>
      <c r="BH88" s="802"/>
      <c r="BI88" s="802"/>
      <c r="BJ88" s="802"/>
      <c r="BK88" s="802"/>
      <c r="BL88" s="802"/>
      <c r="BM88" s="802"/>
      <c r="BN88" s="802"/>
      <c r="BO88" s="802"/>
      <c r="BP88" s="802"/>
      <c r="BQ88" s="802"/>
      <c r="BR88" s="802"/>
      <c r="BS88" s="802"/>
      <c r="BT88" s="802"/>
      <c r="BU88" s="802"/>
      <c r="BV88" s="802"/>
      <c r="BW88" s="802"/>
      <c r="BX88" s="802"/>
      <c r="BY88" s="802"/>
      <c r="BZ88" s="802"/>
      <c r="CA88" s="802"/>
      <c r="CB88" s="802"/>
      <c r="CC88" s="802"/>
      <c r="CD88" s="802"/>
      <c r="CE88" s="802"/>
      <c r="CF88" s="802"/>
      <c r="CG88" s="802"/>
      <c r="CH88" s="802"/>
      <c r="CI88" s="802"/>
      <c r="CJ88" s="802"/>
      <c r="CK88" s="802"/>
      <c r="CL88" s="802"/>
      <c r="CM88" s="802"/>
      <c r="CN88" s="802"/>
      <c r="CO88" s="802"/>
      <c r="CP88" s="802"/>
      <c r="CQ88" s="802"/>
      <c r="CR88" s="802"/>
      <c r="CS88" s="802"/>
      <c r="CT88" s="802"/>
      <c r="CU88" s="802"/>
      <c r="CV88" s="802"/>
      <c r="CW88" s="802"/>
      <c r="CX88" s="802"/>
      <c r="CY88" s="802"/>
      <c r="CZ88" s="802"/>
      <c r="DA88" s="802"/>
      <c r="DE88" s="202"/>
    </row>
    <row r="90" spans="1:109" s="315" customFormat="1" ht="14.25" x14ac:dyDescent="0.2">
      <c r="A90" s="609" t="s">
        <v>688</v>
      </c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609"/>
      <c r="AB90" s="609"/>
      <c r="AC90" s="609"/>
      <c r="AD90" s="609"/>
      <c r="AE90" s="609"/>
      <c r="AF90" s="609"/>
      <c r="AG90" s="609"/>
      <c r="AH90" s="609"/>
      <c r="AI90" s="609"/>
      <c r="AJ90" s="609"/>
      <c r="AK90" s="609"/>
      <c r="AL90" s="609"/>
      <c r="AM90" s="609"/>
      <c r="AN90" s="609"/>
      <c r="AO90" s="609"/>
      <c r="AP90" s="609"/>
      <c r="AQ90" s="609"/>
      <c r="AR90" s="609"/>
      <c r="AS90" s="609"/>
      <c r="AT90" s="609"/>
      <c r="AU90" s="609"/>
      <c r="AV90" s="609"/>
      <c r="AW90" s="609"/>
      <c r="AX90" s="609"/>
      <c r="AY90" s="609"/>
      <c r="AZ90" s="609"/>
      <c r="BA90" s="609"/>
      <c r="BB90" s="609"/>
      <c r="BC90" s="609"/>
      <c r="BD90" s="609"/>
      <c r="BE90" s="609"/>
      <c r="BF90" s="609"/>
      <c r="BG90" s="609"/>
      <c r="BH90" s="609"/>
      <c r="BI90" s="609"/>
      <c r="BJ90" s="609"/>
      <c r="BK90" s="609"/>
      <c r="BL90" s="609"/>
      <c r="BM90" s="609"/>
      <c r="BN90" s="609"/>
      <c r="BO90" s="609"/>
      <c r="BP90" s="609"/>
      <c r="BQ90" s="609"/>
      <c r="BR90" s="609"/>
      <c r="BS90" s="609"/>
      <c r="BT90" s="609"/>
      <c r="BU90" s="609"/>
      <c r="BV90" s="609"/>
      <c r="BW90" s="609"/>
      <c r="BX90" s="609"/>
      <c r="BY90" s="609"/>
      <c r="BZ90" s="609"/>
      <c r="CA90" s="609"/>
      <c r="CB90" s="609"/>
      <c r="CC90" s="609"/>
      <c r="CD90" s="609"/>
      <c r="CE90" s="609"/>
      <c r="CF90" s="609"/>
      <c r="CG90" s="609"/>
      <c r="CH90" s="609"/>
      <c r="CI90" s="609"/>
      <c r="CJ90" s="609"/>
      <c r="CK90" s="609"/>
      <c r="CL90" s="609"/>
      <c r="CM90" s="609"/>
      <c r="CN90" s="609"/>
      <c r="CO90" s="609"/>
      <c r="CP90" s="609"/>
      <c r="CQ90" s="609"/>
      <c r="CR90" s="609"/>
      <c r="CS90" s="609"/>
      <c r="CT90" s="609"/>
      <c r="CU90" s="609"/>
      <c r="CV90" s="609"/>
      <c r="CW90" s="609"/>
      <c r="CX90" s="609"/>
      <c r="CY90" s="609"/>
      <c r="CZ90" s="609"/>
      <c r="DA90" s="609"/>
      <c r="DE90" s="202"/>
    </row>
    <row r="91" spans="1:109" ht="6" customHeight="1" x14ac:dyDescent="0.25"/>
    <row r="92" spans="1:109" ht="30.75" customHeight="1" x14ac:dyDescent="0.25">
      <c r="A92" s="591" t="s">
        <v>415</v>
      </c>
      <c r="B92" s="591"/>
      <c r="C92" s="591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91"/>
      <c r="AS92" s="591"/>
      <c r="AT92" s="591"/>
      <c r="AU92" s="591"/>
      <c r="AV92" s="591"/>
      <c r="AW92" s="591"/>
      <c r="AX92" s="591"/>
      <c r="AY92" s="591"/>
      <c r="AZ92" s="591"/>
      <c r="BA92" s="591"/>
      <c r="BB92" s="591"/>
      <c r="BC92" s="591"/>
      <c r="BD92" s="591"/>
      <c r="BE92" s="591"/>
      <c r="BF92" s="591"/>
      <c r="BG92" s="591"/>
      <c r="BH92" s="591"/>
      <c r="BI92" s="591"/>
      <c r="BJ92" s="591"/>
      <c r="BK92" s="591"/>
      <c r="BL92" s="591"/>
      <c r="BM92" s="591"/>
      <c r="BN92" s="591"/>
      <c r="BO92" s="591"/>
      <c r="BP92" s="591"/>
      <c r="BQ92" s="591"/>
      <c r="BR92" s="591"/>
      <c r="BS92" s="591"/>
      <c r="BT92" s="591"/>
      <c r="BU92" s="591"/>
      <c r="BV92" s="591"/>
      <c r="BW92" s="591"/>
      <c r="BX92" s="591"/>
      <c r="BY92" s="591"/>
      <c r="BZ92" s="591"/>
      <c r="CA92" s="591"/>
      <c r="CB92" s="591"/>
      <c r="CC92" s="591"/>
      <c r="CD92" s="591"/>
      <c r="CE92" s="591"/>
      <c r="CF92" s="591"/>
      <c r="CG92" s="591"/>
      <c r="CH92" s="591"/>
      <c r="CI92" s="591"/>
      <c r="CJ92" s="591"/>
      <c r="CK92" s="591"/>
      <c r="CL92" s="591"/>
      <c r="CM92" s="591"/>
      <c r="CN92" s="591"/>
      <c r="CO92" s="591"/>
      <c r="CP92" s="591"/>
      <c r="CQ92" s="591"/>
      <c r="CR92" s="591"/>
      <c r="CS92" s="591"/>
      <c r="CT92" s="591"/>
      <c r="CU92" s="591"/>
      <c r="CV92" s="591"/>
      <c r="CW92" s="591"/>
      <c r="CX92" s="591"/>
      <c r="CY92" s="591"/>
      <c r="CZ92" s="591"/>
      <c r="DA92" s="591"/>
      <c r="DB92" s="591"/>
    </row>
    <row r="93" spans="1:109" s="318" customFormat="1" ht="45" customHeight="1" x14ac:dyDescent="0.25">
      <c r="A93" s="592" t="s">
        <v>146</v>
      </c>
      <c r="B93" s="593"/>
      <c r="C93" s="593"/>
      <c r="D93" s="593"/>
      <c r="E93" s="593"/>
      <c r="F93" s="593"/>
      <c r="G93" s="594"/>
      <c r="H93" s="592" t="s">
        <v>252</v>
      </c>
      <c r="I93" s="593"/>
      <c r="J93" s="593"/>
      <c r="K93" s="593"/>
      <c r="L93" s="593"/>
      <c r="M93" s="593"/>
      <c r="N93" s="593"/>
      <c r="O93" s="593"/>
      <c r="P93" s="593"/>
      <c r="Q93" s="593"/>
      <c r="R93" s="593"/>
      <c r="S93" s="593"/>
      <c r="T93" s="593"/>
      <c r="U93" s="593"/>
      <c r="V93" s="593"/>
      <c r="W93" s="593"/>
      <c r="X93" s="593"/>
      <c r="Y93" s="593"/>
      <c r="Z93" s="593"/>
      <c r="AA93" s="593"/>
      <c r="AB93" s="593"/>
      <c r="AC93" s="593"/>
      <c r="AD93" s="593"/>
      <c r="AE93" s="593"/>
      <c r="AF93" s="593"/>
      <c r="AG93" s="593"/>
      <c r="AH93" s="593"/>
      <c r="AI93" s="593"/>
      <c r="AJ93" s="593"/>
      <c r="AK93" s="593"/>
      <c r="AL93" s="593"/>
      <c r="AM93" s="593"/>
      <c r="AN93" s="593"/>
      <c r="AO93" s="593"/>
      <c r="AP93" s="593"/>
      <c r="AQ93" s="593"/>
      <c r="AR93" s="593"/>
      <c r="AS93" s="593"/>
      <c r="AT93" s="593"/>
      <c r="AU93" s="593"/>
      <c r="AV93" s="593"/>
      <c r="AW93" s="593"/>
      <c r="AX93" s="593"/>
      <c r="AY93" s="593"/>
      <c r="AZ93" s="593"/>
      <c r="BA93" s="593"/>
      <c r="BB93" s="593"/>
      <c r="BC93" s="594"/>
      <c r="BD93" s="592" t="s">
        <v>689</v>
      </c>
      <c r="BE93" s="593"/>
      <c r="BF93" s="593"/>
      <c r="BG93" s="593"/>
      <c r="BH93" s="593"/>
      <c r="BI93" s="593"/>
      <c r="BJ93" s="593"/>
      <c r="BK93" s="593"/>
      <c r="BL93" s="593"/>
      <c r="BM93" s="593"/>
      <c r="BN93" s="593"/>
      <c r="BO93" s="593"/>
      <c r="BP93" s="593"/>
      <c r="BQ93" s="593"/>
      <c r="BR93" s="593"/>
      <c r="BS93" s="594"/>
      <c r="BT93" s="592" t="s">
        <v>690</v>
      </c>
      <c r="BU93" s="593"/>
      <c r="BV93" s="593"/>
      <c r="BW93" s="593"/>
      <c r="BX93" s="593"/>
      <c r="BY93" s="593"/>
      <c r="BZ93" s="593"/>
      <c r="CA93" s="593"/>
      <c r="CB93" s="593"/>
      <c r="CC93" s="593"/>
      <c r="CD93" s="593"/>
      <c r="CE93" s="593"/>
      <c r="CF93" s="593"/>
      <c r="CG93" s="593"/>
      <c r="CH93" s="593"/>
      <c r="CI93" s="594"/>
      <c r="CJ93" s="592" t="s">
        <v>691</v>
      </c>
      <c r="CK93" s="593"/>
      <c r="CL93" s="593"/>
      <c r="CM93" s="593"/>
      <c r="CN93" s="593"/>
      <c r="CO93" s="593"/>
      <c r="CP93" s="593"/>
      <c r="CQ93" s="593"/>
      <c r="CR93" s="593"/>
      <c r="CS93" s="593"/>
      <c r="CT93" s="593"/>
      <c r="CU93" s="593"/>
      <c r="CV93" s="593"/>
      <c r="CW93" s="593"/>
      <c r="CX93" s="593"/>
      <c r="CY93" s="593"/>
      <c r="CZ93" s="593"/>
      <c r="DA93" s="594"/>
      <c r="DE93" s="318" t="s">
        <v>692</v>
      </c>
    </row>
    <row r="94" spans="1:109" s="209" customFormat="1" ht="12.75" x14ac:dyDescent="0.25">
      <c r="A94" s="602">
        <v>1</v>
      </c>
      <c r="B94" s="602"/>
      <c r="C94" s="602"/>
      <c r="D94" s="602"/>
      <c r="E94" s="602"/>
      <c r="F94" s="602"/>
      <c r="G94" s="602"/>
      <c r="H94" s="602">
        <v>2</v>
      </c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  <c r="AA94" s="602"/>
      <c r="AB94" s="602"/>
      <c r="AC94" s="602"/>
      <c r="AD94" s="602"/>
      <c r="AE94" s="602"/>
      <c r="AF94" s="602"/>
      <c r="AG94" s="602"/>
      <c r="AH94" s="602"/>
      <c r="AI94" s="602"/>
      <c r="AJ94" s="602"/>
      <c r="AK94" s="602"/>
      <c r="AL94" s="602"/>
      <c r="AM94" s="602"/>
      <c r="AN94" s="602"/>
      <c r="AO94" s="602"/>
      <c r="AP94" s="602"/>
      <c r="AQ94" s="602"/>
      <c r="AR94" s="602"/>
      <c r="AS94" s="602"/>
      <c r="AT94" s="602"/>
      <c r="AU94" s="602"/>
      <c r="AV94" s="602"/>
      <c r="AW94" s="602"/>
      <c r="AX94" s="602"/>
      <c r="AY94" s="602"/>
      <c r="AZ94" s="602"/>
      <c r="BA94" s="602"/>
      <c r="BB94" s="602"/>
      <c r="BC94" s="602"/>
      <c r="BD94" s="602">
        <v>3</v>
      </c>
      <c r="BE94" s="602"/>
      <c r="BF94" s="602"/>
      <c r="BG94" s="602"/>
      <c r="BH94" s="602"/>
      <c r="BI94" s="602"/>
      <c r="BJ94" s="602"/>
      <c r="BK94" s="602"/>
      <c r="BL94" s="602"/>
      <c r="BM94" s="602"/>
      <c r="BN94" s="602"/>
      <c r="BO94" s="602"/>
      <c r="BP94" s="602"/>
      <c r="BQ94" s="602"/>
      <c r="BR94" s="602"/>
      <c r="BS94" s="602"/>
      <c r="BT94" s="602">
        <v>4</v>
      </c>
      <c r="BU94" s="602"/>
      <c r="BV94" s="602"/>
      <c r="BW94" s="602"/>
      <c r="BX94" s="602"/>
      <c r="BY94" s="602"/>
      <c r="BZ94" s="602"/>
      <c r="CA94" s="602"/>
      <c r="CB94" s="602"/>
      <c r="CC94" s="602"/>
      <c r="CD94" s="602"/>
      <c r="CE94" s="602"/>
      <c r="CF94" s="602"/>
      <c r="CG94" s="602"/>
      <c r="CH94" s="602"/>
      <c r="CI94" s="602"/>
      <c r="CJ94" s="602">
        <v>5</v>
      </c>
      <c r="CK94" s="602"/>
      <c r="CL94" s="602"/>
      <c r="CM94" s="602"/>
      <c r="CN94" s="602"/>
      <c r="CO94" s="602"/>
      <c r="CP94" s="602"/>
      <c r="CQ94" s="602"/>
      <c r="CR94" s="602"/>
      <c r="CS94" s="602"/>
      <c r="CT94" s="602"/>
      <c r="CU94" s="602"/>
      <c r="CV94" s="602"/>
      <c r="CW94" s="602"/>
      <c r="CX94" s="602"/>
      <c r="CY94" s="602"/>
      <c r="CZ94" s="602"/>
      <c r="DA94" s="602"/>
    </row>
    <row r="95" spans="1:109" s="317" customFormat="1" ht="21" customHeight="1" x14ac:dyDescent="0.25">
      <c r="A95" s="595" t="s">
        <v>381</v>
      </c>
      <c r="B95" s="595"/>
      <c r="C95" s="595"/>
      <c r="D95" s="595"/>
      <c r="E95" s="595"/>
      <c r="F95" s="595"/>
      <c r="G95" s="595"/>
      <c r="H95" s="596" t="s">
        <v>693</v>
      </c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596"/>
      <c r="Z95" s="596"/>
      <c r="AA95" s="596"/>
      <c r="AB95" s="596"/>
      <c r="AC95" s="596"/>
      <c r="AD95" s="596"/>
      <c r="AE95" s="596"/>
      <c r="AF95" s="596"/>
      <c r="AG95" s="596"/>
      <c r="AH95" s="596"/>
      <c r="AI95" s="596"/>
      <c r="AJ95" s="596"/>
      <c r="AK95" s="596"/>
      <c r="AL95" s="596"/>
      <c r="AM95" s="596"/>
      <c r="AN95" s="596"/>
      <c r="AO95" s="596"/>
      <c r="AP95" s="596"/>
      <c r="AQ95" s="596"/>
      <c r="AR95" s="596"/>
      <c r="AS95" s="596"/>
      <c r="AT95" s="596"/>
      <c r="AU95" s="596"/>
      <c r="AV95" s="596"/>
      <c r="AW95" s="596"/>
      <c r="AX95" s="596"/>
      <c r="AY95" s="596"/>
      <c r="AZ95" s="596"/>
      <c r="BA95" s="596"/>
      <c r="BB95" s="596"/>
      <c r="BC95" s="596"/>
      <c r="BD95" s="597">
        <v>15000</v>
      </c>
      <c r="BE95" s="597"/>
      <c r="BF95" s="597"/>
      <c r="BG95" s="597"/>
      <c r="BH95" s="597"/>
      <c r="BI95" s="597"/>
      <c r="BJ95" s="597"/>
      <c r="BK95" s="597"/>
      <c r="BL95" s="597"/>
      <c r="BM95" s="597"/>
      <c r="BN95" s="597"/>
      <c r="BO95" s="597"/>
      <c r="BP95" s="597"/>
      <c r="BQ95" s="597"/>
      <c r="BR95" s="597"/>
      <c r="BS95" s="597"/>
      <c r="BT95" s="597">
        <v>12</v>
      </c>
      <c r="BU95" s="597"/>
      <c r="BV95" s="597"/>
      <c r="BW95" s="597"/>
      <c r="BX95" s="597"/>
      <c r="BY95" s="597"/>
      <c r="BZ95" s="597"/>
      <c r="CA95" s="597"/>
      <c r="CB95" s="597"/>
      <c r="CC95" s="597"/>
      <c r="CD95" s="597"/>
      <c r="CE95" s="597"/>
      <c r="CF95" s="597"/>
      <c r="CG95" s="597"/>
      <c r="CH95" s="597"/>
      <c r="CI95" s="597"/>
      <c r="CJ95" s="601">
        <v>490000</v>
      </c>
      <c r="CK95" s="601"/>
      <c r="CL95" s="601"/>
      <c r="CM95" s="601"/>
      <c r="CN95" s="601"/>
      <c r="CO95" s="601"/>
      <c r="CP95" s="601"/>
      <c r="CQ95" s="601"/>
      <c r="CR95" s="601"/>
      <c r="CS95" s="601"/>
      <c r="CT95" s="601"/>
      <c r="CU95" s="601"/>
      <c r="CV95" s="601"/>
      <c r="CW95" s="601"/>
      <c r="CX95" s="601"/>
      <c r="CY95" s="601"/>
      <c r="CZ95" s="601"/>
      <c r="DA95" s="601"/>
    </row>
    <row r="96" spans="1:109" s="317" customFormat="1" ht="21" customHeight="1" x14ac:dyDescent="0.25">
      <c r="A96" s="595" t="s">
        <v>390</v>
      </c>
      <c r="B96" s="595"/>
      <c r="C96" s="595"/>
      <c r="D96" s="595"/>
      <c r="E96" s="595"/>
      <c r="F96" s="595"/>
      <c r="G96" s="595"/>
      <c r="H96" s="596" t="s">
        <v>694</v>
      </c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596"/>
      <c r="Z96" s="596"/>
      <c r="AA96" s="596"/>
      <c r="AB96" s="596"/>
      <c r="AC96" s="596"/>
      <c r="AD96" s="596"/>
      <c r="AE96" s="596"/>
      <c r="AF96" s="596"/>
      <c r="AG96" s="596"/>
      <c r="AH96" s="596"/>
      <c r="AI96" s="596"/>
      <c r="AJ96" s="596"/>
      <c r="AK96" s="596"/>
      <c r="AL96" s="596"/>
      <c r="AM96" s="596"/>
      <c r="AN96" s="596"/>
      <c r="AO96" s="596"/>
      <c r="AP96" s="596"/>
      <c r="AQ96" s="596"/>
      <c r="AR96" s="596"/>
      <c r="AS96" s="596"/>
      <c r="AT96" s="596"/>
      <c r="AU96" s="596"/>
      <c r="AV96" s="596"/>
      <c r="AW96" s="596"/>
      <c r="AX96" s="596"/>
      <c r="AY96" s="596"/>
      <c r="AZ96" s="596"/>
      <c r="BA96" s="596"/>
      <c r="BB96" s="596"/>
      <c r="BC96" s="596"/>
      <c r="BD96" s="597">
        <v>1200</v>
      </c>
      <c r="BE96" s="597"/>
      <c r="BF96" s="597"/>
      <c r="BG96" s="597"/>
      <c r="BH96" s="597"/>
      <c r="BI96" s="597"/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>
        <v>12</v>
      </c>
      <c r="BU96" s="597"/>
      <c r="BV96" s="597"/>
      <c r="BW96" s="597"/>
      <c r="BX96" s="597"/>
      <c r="BY96" s="597"/>
      <c r="BZ96" s="597"/>
      <c r="CA96" s="597"/>
      <c r="CB96" s="597"/>
      <c r="CC96" s="597"/>
      <c r="CD96" s="597"/>
      <c r="CE96" s="597"/>
      <c r="CF96" s="597"/>
      <c r="CG96" s="597"/>
      <c r="CH96" s="597"/>
      <c r="CI96" s="597"/>
      <c r="CJ96" s="601"/>
      <c r="CK96" s="601"/>
      <c r="CL96" s="601"/>
      <c r="CM96" s="601"/>
      <c r="CN96" s="601"/>
      <c r="CO96" s="601"/>
      <c r="CP96" s="601"/>
      <c r="CQ96" s="601"/>
      <c r="CR96" s="601"/>
      <c r="CS96" s="601"/>
      <c r="CT96" s="601"/>
      <c r="CU96" s="601"/>
      <c r="CV96" s="601"/>
      <c r="CW96" s="601"/>
      <c r="CX96" s="601"/>
      <c r="CY96" s="601"/>
      <c r="CZ96" s="601"/>
      <c r="DA96" s="601"/>
    </row>
    <row r="97" spans="1:109" s="317" customFormat="1" ht="15" customHeight="1" x14ac:dyDescent="0.25">
      <c r="A97" s="595"/>
      <c r="B97" s="595"/>
      <c r="C97" s="595"/>
      <c r="D97" s="595"/>
      <c r="E97" s="595"/>
      <c r="F97" s="595"/>
      <c r="G97" s="595"/>
      <c r="H97" s="606" t="s">
        <v>610</v>
      </c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6"/>
      <c r="T97" s="606"/>
      <c r="U97" s="606"/>
      <c r="V97" s="606"/>
      <c r="W97" s="606"/>
      <c r="X97" s="606"/>
      <c r="Y97" s="606"/>
      <c r="Z97" s="606"/>
      <c r="AA97" s="606"/>
      <c r="AB97" s="606"/>
      <c r="AC97" s="606"/>
      <c r="AD97" s="606"/>
      <c r="AE97" s="606"/>
      <c r="AF97" s="606"/>
      <c r="AG97" s="606"/>
      <c r="AH97" s="606"/>
      <c r="AI97" s="606"/>
      <c r="AJ97" s="606"/>
      <c r="AK97" s="606"/>
      <c r="AL97" s="606"/>
      <c r="AM97" s="606"/>
      <c r="AN97" s="606"/>
      <c r="AO97" s="606"/>
      <c r="AP97" s="606"/>
      <c r="AQ97" s="606"/>
      <c r="AR97" s="606"/>
      <c r="AS97" s="606"/>
      <c r="AT97" s="606"/>
      <c r="AU97" s="606"/>
      <c r="AV97" s="606"/>
      <c r="AW97" s="606"/>
      <c r="AX97" s="606"/>
      <c r="AY97" s="606"/>
      <c r="AZ97" s="606"/>
      <c r="BA97" s="606"/>
      <c r="BB97" s="606"/>
      <c r="BC97" s="607"/>
      <c r="BD97" s="597" t="s">
        <v>487</v>
      </c>
      <c r="BE97" s="597"/>
      <c r="BF97" s="597"/>
      <c r="BG97" s="597"/>
      <c r="BH97" s="597"/>
      <c r="BI97" s="597"/>
      <c r="BJ97" s="597"/>
      <c r="BK97" s="597"/>
      <c r="BL97" s="597"/>
      <c r="BM97" s="597"/>
      <c r="BN97" s="597"/>
      <c r="BO97" s="597"/>
      <c r="BP97" s="597"/>
      <c r="BQ97" s="597"/>
      <c r="BR97" s="597"/>
      <c r="BS97" s="597"/>
      <c r="BT97" s="597" t="s">
        <v>487</v>
      </c>
      <c r="BU97" s="597"/>
      <c r="BV97" s="597"/>
      <c r="BW97" s="597"/>
      <c r="BX97" s="597"/>
      <c r="BY97" s="597"/>
      <c r="BZ97" s="597"/>
      <c r="CA97" s="597"/>
      <c r="CB97" s="597"/>
      <c r="CC97" s="597"/>
      <c r="CD97" s="597"/>
      <c r="CE97" s="597"/>
      <c r="CF97" s="597"/>
      <c r="CG97" s="597"/>
      <c r="CH97" s="597"/>
      <c r="CI97" s="597"/>
      <c r="CJ97" s="608">
        <f>ROUND((CJ95+CJ96),-2)</f>
        <v>490000</v>
      </c>
      <c r="CK97" s="608"/>
      <c r="CL97" s="608"/>
      <c r="CM97" s="608"/>
      <c r="CN97" s="608"/>
      <c r="CO97" s="608"/>
      <c r="CP97" s="608"/>
      <c r="CQ97" s="608"/>
      <c r="CR97" s="608"/>
      <c r="CS97" s="608"/>
      <c r="CT97" s="608"/>
      <c r="CU97" s="608"/>
      <c r="CV97" s="608"/>
      <c r="CW97" s="608"/>
      <c r="CX97" s="608"/>
      <c r="CY97" s="608"/>
      <c r="CZ97" s="608"/>
      <c r="DA97" s="608"/>
    </row>
    <row r="98" spans="1:109" s="202" customFormat="1" ht="12" customHeight="1" x14ac:dyDescent="0.2"/>
    <row r="99" spans="1:109" s="315" customFormat="1" ht="14.25" x14ac:dyDescent="0.2">
      <c r="A99" s="609" t="s">
        <v>695</v>
      </c>
      <c r="B99" s="609"/>
      <c r="C99" s="609"/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09"/>
      <c r="X99" s="609"/>
      <c r="Y99" s="609"/>
      <c r="Z99" s="609"/>
      <c r="AA99" s="609"/>
      <c r="AB99" s="609"/>
      <c r="AC99" s="609"/>
      <c r="AD99" s="609"/>
      <c r="AE99" s="609"/>
      <c r="AF99" s="609"/>
      <c r="AG99" s="609"/>
      <c r="AH99" s="609"/>
      <c r="AI99" s="609"/>
      <c r="AJ99" s="609"/>
      <c r="AK99" s="609"/>
      <c r="AL99" s="609"/>
      <c r="AM99" s="609"/>
      <c r="AN99" s="609"/>
      <c r="AO99" s="609"/>
      <c r="AP99" s="609"/>
      <c r="AQ99" s="609"/>
      <c r="AR99" s="609"/>
      <c r="AS99" s="609"/>
      <c r="AT99" s="609"/>
      <c r="AU99" s="609"/>
      <c r="AV99" s="609"/>
      <c r="AW99" s="609"/>
      <c r="AX99" s="609"/>
      <c r="AY99" s="609"/>
      <c r="AZ99" s="609"/>
      <c r="BA99" s="609"/>
      <c r="BB99" s="609"/>
      <c r="BC99" s="609"/>
      <c r="BD99" s="609"/>
      <c r="BE99" s="609"/>
      <c r="BF99" s="609"/>
      <c r="BG99" s="609"/>
      <c r="BH99" s="609"/>
      <c r="BI99" s="609"/>
      <c r="BJ99" s="609"/>
      <c r="BK99" s="609"/>
      <c r="BL99" s="609"/>
      <c r="BM99" s="609"/>
      <c r="BN99" s="609"/>
      <c r="BO99" s="609"/>
      <c r="BP99" s="609"/>
      <c r="BQ99" s="609"/>
      <c r="BR99" s="609"/>
      <c r="BS99" s="609"/>
      <c r="BT99" s="609"/>
      <c r="BU99" s="609"/>
      <c r="BV99" s="609"/>
      <c r="BW99" s="609"/>
      <c r="BX99" s="609"/>
      <c r="BY99" s="609"/>
      <c r="BZ99" s="609"/>
      <c r="CA99" s="609"/>
      <c r="CB99" s="609"/>
      <c r="CC99" s="609"/>
      <c r="CD99" s="609"/>
      <c r="CE99" s="609"/>
      <c r="CF99" s="609"/>
      <c r="CG99" s="609"/>
      <c r="CH99" s="609"/>
      <c r="CI99" s="609"/>
      <c r="CJ99" s="609"/>
      <c r="CK99" s="609"/>
      <c r="CL99" s="609"/>
      <c r="CM99" s="609"/>
      <c r="CN99" s="609"/>
      <c r="CO99" s="609"/>
      <c r="CP99" s="609"/>
      <c r="CQ99" s="609"/>
      <c r="CR99" s="609"/>
      <c r="CS99" s="609"/>
      <c r="CT99" s="609"/>
      <c r="CU99" s="609"/>
      <c r="CV99" s="609"/>
      <c r="CW99" s="609"/>
      <c r="CX99" s="609"/>
      <c r="CY99" s="609"/>
      <c r="CZ99" s="609"/>
      <c r="DA99" s="609"/>
      <c r="DE99" s="202"/>
    </row>
    <row r="100" spans="1:109" ht="6" customHeight="1" x14ac:dyDescent="0.25"/>
    <row r="101" spans="1:109" s="315" customFormat="1" ht="26.25" customHeight="1" x14ac:dyDescent="0.2">
      <c r="A101" s="591" t="s">
        <v>696</v>
      </c>
      <c r="B101" s="591"/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91"/>
      <c r="AS101" s="591"/>
      <c r="AT101" s="591"/>
      <c r="AU101" s="591"/>
      <c r="AV101" s="591"/>
      <c r="AW101" s="591"/>
      <c r="AX101" s="591"/>
      <c r="AY101" s="591"/>
      <c r="AZ101" s="591"/>
      <c r="BA101" s="591"/>
      <c r="BB101" s="591"/>
      <c r="BC101" s="591"/>
      <c r="BD101" s="591"/>
      <c r="BE101" s="591"/>
      <c r="BF101" s="591"/>
      <c r="BG101" s="591"/>
      <c r="BH101" s="591"/>
      <c r="BI101" s="591"/>
      <c r="BJ101" s="591"/>
      <c r="BK101" s="591"/>
      <c r="BL101" s="591"/>
      <c r="BM101" s="591"/>
      <c r="BN101" s="591"/>
      <c r="BO101" s="591"/>
      <c r="BP101" s="591"/>
      <c r="BQ101" s="591"/>
      <c r="BR101" s="591"/>
      <c r="BS101" s="591"/>
      <c r="BT101" s="591"/>
      <c r="BU101" s="591"/>
      <c r="BV101" s="591"/>
      <c r="BW101" s="591"/>
      <c r="BX101" s="591"/>
      <c r="BY101" s="591"/>
      <c r="BZ101" s="591"/>
      <c r="CA101" s="591"/>
      <c r="CB101" s="591"/>
      <c r="CC101" s="591"/>
      <c r="CD101" s="591"/>
      <c r="CE101" s="591"/>
      <c r="CF101" s="591"/>
      <c r="CG101" s="591"/>
      <c r="CH101" s="591"/>
      <c r="CI101" s="591"/>
      <c r="CJ101" s="591"/>
      <c r="CK101" s="591"/>
      <c r="CL101" s="591"/>
      <c r="CM101" s="591"/>
      <c r="CN101" s="591"/>
      <c r="CO101" s="591"/>
      <c r="CP101" s="591"/>
      <c r="CQ101" s="591"/>
      <c r="CR101" s="591"/>
      <c r="CS101" s="591"/>
      <c r="CT101" s="591"/>
      <c r="CU101" s="591"/>
      <c r="CV101" s="591"/>
      <c r="CW101" s="591"/>
      <c r="CX101" s="591"/>
      <c r="CY101" s="591"/>
      <c r="CZ101" s="591"/>
      <c r="DA101" s="591"/>
      <c r="DE101" s="202"/>
    </row>
    <row r="102" spans="1:109" s="315" customFormat="1" ht="6" customHeight="1" x14ac:dyDescent="0.2"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  <c r="AU102" s="339"/>
      <c r="AV102" s="339"/>
      <c r="AW102" s="339"/>
      <c r="AX102" s="339"/>
      <c r="AY102" s="339"/>
      <c r="AZ102" s="339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  <c r="BW102" s="339"/>
      <c r="BX102" s="339"/>
      <c r="BY102" s="339"/>
      <c r="BZ102" s="339"/>
      <c r="CA102" s="339"/>
      <c r="CB102" s="339"/>
      <c r="CC102" s="339"/>
      <c r="CD102" s="339"/>
      <c r="CE102" s="339"/>
      <c r="CF102" s="339"/>
      <c r="CG102" s="339"/>
      <c r="CH102" s="339"/>
      <c r="CI102" s="339"/>
      <c r="CJ102" s="339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E102" s="202"/>
    </row>
    <row r="103" spans="1:109" ht="10.5" customHeight="1" x14ac:dyDescent="0.25"/>
    <row r="104" spans="1:109" s="318" customFormat="1" ht="45" customHeight="1" x14ac:dyDescent="0.25">
      <c r="A104" s="592" t="s">
        <v>146</v>
      </c>
      <c r="B104" s="593"/>
      <c r="C104" s="593"/>
      <c r="D104" s="593"/>
      <c r="E104" s="593"/>
      <c r="F104" s="593"/>
      <c r="G104" s="594"/>
      <c r="H104" s="592" t="s">
        <v>252</v>
      </c>
      <c r="I104" s="593"/>
      <c r="J104" s="593"/>
      <c r="K104" s="593"/>
      <c r="L104" s="593"/>
      <c r="M104" s="593"/>
      <c r="N104" s="593"/>
      <c r="O104" s="593"/>
      <c r="P104" s="593"/>
      <c r="Q104" s="593"/>
      <c r="R104" s="593"/>
      <c r="S104" s="593"/>
      <c r="T104" s="593"/>
      <c r="U104" s="593"/>
      <c r="V104" s="593"/>
      <c r="W104" s="593"/>
      <c r="X104" s="593"/>
      <c r="Y104" s="593"/>
      <c r="Z104" s="593"/>
      <c r="AA104" s="593"/>
      <c r="AB104" s="593"/>
      <c r="AC104" s="593"/>
      <c r="AD104" s="593"/>
      <c r="AE104" s="593"/>
      <c r="AF104" s="593"/>
      <c r="AG104" s="593"/>
      <c r="AH104" s="593"/>
      <c r="AI104" s="593"/>
      <c r="AJ104" s="593"/>
      <c r="AK104" s="593"/>
      <c r="AL104" s="593"/>
      <c r="AM104" s="593"/>
      <c r="AN104" s="593"/>
      <c r="AO104" s="593"/>
      <c r="AP104" s="593"/>
      <c r="AQ104" s="593"/>
      <c r="AR104" s="593"/>
      <c r="AS104" s="593"/>
      <c r="AT104" s="593"/>
      <c r="AU104" s="593"/>
      <c r="AV104" s="593"/>
      <c r="AW104" s="593"/>
      <c r="AX104" s="593"/>
      <c r="AY104" s="593"/>
      <c r="AZ104" s="593"/>
      <c r="BA104" s="593"/>
      <c r="BB104" s="593"/>
      <c r="BC104" s="594"/>
      <c r="BD104" s="592" t="s">
        <v>689</v>
      </c>
      <c r="BE104" s="593"/>
      <c r="BF104" s="593"/>
      <c r="BG104" s="593"/>
      <c r="BH104" s="593"/>
      <c r="BI104" s="593"/>
      <c r="BJ104" s="593"/>
      <c r="BK104" s="593"/>
      <c r="BL104" s="593"/>
      <c r="BM104" s="593"/>
      <c r="BN104" s="593"/>
      <c r="BO104" s="593"/>
      <c r="BP104" s="593"/>
      <c r="BQ104" s="593"/>
      <c r="BR104" s="593"/>
      <c r="BS104" s="594"/>
      <c r="BT104" s="592" t="s">
        <v>690</v>
      </c>
      <c r="BU104" s="593"/>
      <c r="BV104" s="593"/>
      <c r="BW104" s="593"/>
      <c r="BX104" s="593"/>
      <c r="BY104" s="593"/>
      <c r="BZ104" s="593"/>
      <c r="CA104" s="593"/>
      <c r="CB104" s="593"/>
      <c r="CC104" s="593"/>
      <c r="CD104" s="593"/>
      <c r="CE104" s="593"/>
      <c r="CF104" s="593"/>
      <c r="CG104" s="593"/>
      <c r="CH104" s="593"/>
      <c r="CI104" s="594"/>
      <c r="CJ104" s="592" t="s">
        <v>691</v>
      </c>
      <c r="CK104" s="593"/>
      <c r="CL104" s="593"/>
      <c r="CM104" s="593"/>
      <c r="CN104" s="593"/>
      <c r="CO104" s="593"/>
      <c r="CP104" s="593"/>
      <c r="CQ104" s="593"/>
      <c r="CR104" s="593"/>
      <c r="CS104" s="593"/>
      <c r="CT104" s="593"/>
      <c r="CU104" s="593"/>
      <c r="CV104" s="593"/>
      <c r="CW104" s="593"/>
      <c r="CX104" s="593"/>
      <c r="CY104" s="593"/>
      <c r="CZ104" s="593"/>
      <c r="DA104" s="594"/>
      <c r="DE104" s="318" t="s">
        <v>697</v>
      </c>
    </row>
    <row r="105" spans="1:109" s="209" customFormat="1" ht="12.75" x14ac:dyDescent="0.25">
      <c r="A105" s="602">
        <v>1</v>
      </c>
      <c r="B105" s="602"/>
      <c r="C105" s="602"/>
      <c r="D105" s="602"/>
      <c r="E105" s="602"/>
      <c r="F105" s="602"/>
      <c r="G105" s="602"/>
      <c r="H105" s="602">
        <v>2</v>
      </c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  <c r="AA105" s="602"/>
      <c r="AB105" s="602"/>
      <c r="AC105" s="602"/>
      <c r="AD105" s="602"/>
      <c r="AE105" s="602"/>
      <c r="AF105" s="602"/>
      <c r="AG105" s="602"/>
      <c r="AH105" s="602"/>
      <c r="AI105" s="602"/>
      <c r="AJ105" s="602"/>
      <c r="AK105" s="602"/>
      <c r="AL105" s="602"/>
      <c r="AM105" s="602"/>
      <c r="AN105" s="602"/>
      <c r="AO105" s="602"/>
      <c r="AP105" s="602"/>
      <c r="AQ105" s="602"/>
      <c r="AR105" s="602"/>
      <c r="AS105" s="602"/>
      <c r="AT105" s="602"/>
      <c r="AU105" s="602"/>
      <c r="AV105" s="602"/>
      <c r="AW105" s="602"/>
      <c r="AX105" s="602"/>
      <c r="AY105" s="602"/>
      <c r="AZ105" s="602"/>
      <c r="BA105" s="602"/>
      <c r="BB105" s="602"/>
      <c r="BC105" s="602"/>
      <c r="BD105" s="602">
        <v>3</v>
      </c>
      <c r="BE105" s="602"/>
      <c r="BF105" s="602"/>
      <c r="BG105" s="602"/>
      <c r="BH105" s="602"/>
      <c r="BI105" s="602"/>
      <c r="BJ105" s="602"/>
      <c r="BK105" s="602"/>
      <c r="BL105" s="602"/>
      <c r="BM105" s="602"/>
      <c r="BN105" s="602"/>
      <c r="BO105" s="602"/>
      <c r="BP105" s="602"/>
      <c r="BQ105" s="602"/>
      <c r="BR105" s="602"/>
      <c r="BS105" s="602"/>
      <c r="BT105" s="602">
        <v>4</v>
      </c>
      <c r="BU105" s="602"/>
      <c r="BV105" s="602"/>
      <c r="BW105" s="602"/>
      <c r="BX105" s="602"/>
      <c r="BY105" s="602"/>
      <c r="BZ105" s="602"/>
      <c r="CA105" s="602"/>
      <c r="CB105" s="602"/>
      <c r="CC105" s="602"/>
      <c r="CD105" s="602"/>
      <c r="CE105" s="602"/>
      <c r="CF105" s="602"/>
      <c r="CG105" s="602"/>
      <c r="CH105" s="602"/>
      <c r="CI105" s="602"/>
      <c r="CJ105" s="602">
        <v>5</v>
      </c>
      <c r="CK105" s="602"/>
      <c r="CL105" s="602"/>
      <c r="CM105" s="602"/>
      <c r="CN105" s="602"/>
      <c r="CO105" s="602"/>
      <c r="CP105" s="602"/>
      <c r="CQ105" s="602"/>
      <c r="CR105" s="602"/>
      <c r="CS105" s="602"/>
      <c r="CT105" s="602"/>
      <c r="CU105" s="602"/>
      <c r="CV105" s="602"/>
      <c r="CW105" s="602"/>
      <c r="CX105" s="602"/>
      <c r="CY105" s="602"/>
      <c r="CZ105" s="602"/>
      <c r="DA105" s="602"/>
    </row>
    <row r="106" spans="1:109" s="317" customFormat="1" ht="22.5" customHeight="1" x14ac:dyDescent="0.25">
      <c r="A106" s="595" t="s">
        <v>381</v>
      </c>
      <c r="B106" s="595"/>
      <c r="C106" s="595"/>
      <c r="D106" s="595"/>
      <c r="E106" s="595"/>
      <c r="F106" s="595"/>
      <c r="G106" s="595"/>
      <c r="H106" s="596" t="s">
        <v>698</v>
      </c>
      <c r="I106" s="596"/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596"/>
      <c r="Y106" s="596"/>
      <c r="Z106" s="596"/>
      <c r="AA106" s="596"/>
      <c r="AB106" s="596"/>
      <c r="AC106" s="596"/>
      <c r="AD106" s="596"/>
      <c r="AE106" s="596"/>
      <c r="AF106" s="596"/>
      <c r="AG106" s="596"/>
      <c r="AH106" s="596"/>
      <c r="AI106" s="596"/>
      <c r="AJ106" s="596"/>
      <c r="AK106" s="596"/>
      <c r="AL106" s="596"/>
      <c r="AM106" s="596"/>
      <c r="AN106" s="596"/>
      <c r="AO106" s="596"/>
      <c r="AP106" s="596"/>
      <c r="AQ106" s="596"/>
      <c r="AR106" s="596"/>
      <c r="AS106" s="596"/>
      <c r="AT106" s="596"/>
      <c r="AU106" s="596"/>
      <c r="AV106" s="596"/>
      <c r="AW106" s="596"/>
      <c r="AX106" s="596"/>
      <c r="AY106" s="596"/>
      <c r="AZ106" s="596"/>
      <c r="BA106" s="596"/>
      <c r="BB106" s="596"/>
      <c r="BC106" s="596"/>
      <c r="BD106" s="597">
        <v>2400</v>
      </c>
      <c r="BE106" s="597"/>
      <c r="BF106" s="597"/>
      <c r="BG106" s="597"/>
      <c r="BH106" s="597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597"/>
      <c r="BS106" s="597"/>
      <c r="BT106" s="597">
        <v>20</v>
      </c>
      <c r="BU106" s="597"/>
      <c r="BV106" s="597"/>
      <c r="BW106" s="597"/>
      <c r="BX106" s="597"/>
      <c r="BY106" s="597"/>
      <c r="BZ106" s="597"/>
      <c r="CA106" s="597"/>
      <c r="CB106" s="597"/>
      <c r="CC106" s="597"/>
      <c r="CD106" s="597"/>
      <c r="CE106" s="597"/>
      <c r="CF106" s="597"/>
      <c r="CG106" s="597"/>
      <c r="CH106" s="597"/>
      <c r="CI106" s="597"/>
      <c r="CJ106" s="601">
        <f>BD106*BT106</f>
        <v>48000</v>
      </c>
      <c r="CK106" s="601"/>
      <c r="CL106" s="601"/>
      <c r="CM106" s="601"/>
      <c r="CN106" s="601"/>
      <c r="CO106" s="601"/>
      <c r="CP106" s="601"/>
      <c r="CQ106" s="601"/>
      <c r="CR106" s="601"/>
      <c r="CS106" s="601"/>
      <c r="CT106" s="601"/>
      <c r="CU106" s="601"/>
      <c r="CV106" s="601"/>
      <c r="CW106" s="601"/>
      <c r="CX106" s="601"/>
      <c r="CY106" s="601"/>
      <c r="CZ106" s="601"/>
      <c r="DA106" s="601"/>
    </row>
    <row r="107" spans="1:109" s="317" customFormat="1" ht="22.5" customHeight="1" x14ac:dyDescent="0.25">
      <c r="A107" s="595" t="s">
        <v>390</v>
      </c>
      <c r="B107" s="595"/>
      <c r="C107" s="595"/>
      <c r="D107" s="595"/>
      <c r="E107" s="595"/>
      <c r="F107" s="595"/>
      <c r="G107" s="595"/>
      <c r="H107" s="596" t="s">
        <v>699</v>
      </c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6"/>
      <c r="X107" s="596"/>
      <c r="Y107" s="596"/>
      <c r="Z107" s="596"/>
      <c r="AA107" s="596"/>
      <c r="AB107" s="596"/>
      <c r="AC107" s="596"/>
      <c r="AD107" s="596"/>
      <c r="AE107" s="596"/>
      <c r="AF107" s="596"/>
      <c r="AG107" s="596"/>
      <c r="AH107" s="596"/>
      <c r="AI107" s="596"/>
      <c r="AJ107" s="596"/>
      <c r="AK107" s="596"/>
      <c r="AL107" s="596"/>
      <c r="AM107" s="596"/>
      <c r="AN107" s="596"/>
      <c r="AO107" s="596"/>
      <c r="AP107" s="596"/>
      <c r="AQ107" s="596"/>
      <c r="AR107" s="596"/>
      <c r="AS107" s="596"/>
      <c r="AT107" s="596"/>
      <c r="AU107" s="596"/>
      <c r="AV107" s="596"/>
      <c r="AW107" s="596"/>
      <c r="AX107" s="596"/>
      <c r="AY107" s="596"/>
      <c r="AZ107" s="596"/>
      <c r="BA107" s="596"/>
      <c r="BB107" s="596"/>
      <c r="BC107" s="596"/>
      <c r="BD107" s="597">
        <v>3600</v>
      </c>
      <c r="BE107" s="597"/>
      <c r="BF107" s="597"/>
      <c r="BG107" s="597"/>
      <c r="BH107" s="597"/>
      <c r="BI107" s="597"/>
      <c r="BJ107" s="597"/>
      <c r="BK107" s="597"/>
      <c r="BL107" s="597"/>
      <c r="BM107" s="597"/>
      <c r="BN107" s="597"/>
      <c r="BO107" s="597"/>
      <c r="BP107" s="597"/>
      <c r="BQ107" s="597"/>
      <c r="BR107" s="597"/>
      <c r="BS107" s="597"/>
      <c r="BT107" s="597">
        <v>12</v>
      </c>
      <c r="BU107" s="597"/>
      <c r="BV107" s="597"/>
      <c r="BW107" s="597"/>
      <c r="BX107" s="597"/>
      <c r="BY107" s="597"/>
      <c r="BZ107" s="597"/>
      <c r="CA107" s="597"/>
      <c r="CB107" s="597"/>
      <c r="CC107" s="597"/>
      <c r="CD107" s="597"/>
      <c r="CE107" s="597"/>
      <c r="CF107" s="597"/>
      <c r="CG107" s="597"/>
      <c r="CH107" s="597"/>
      <c r="CI107" s="597"/>
      <c r="CJ107" s="601">
        <f>BD107*BT107</f>
        <v>43200</v>
      </c>
      <c r="CK107" s="601"/>
      <c r="CL107" s="601"/>
      <c r="CM107" s="601"/>
      <c r="CN107" s="601"/>
      <c r="CO107" s="601"/>
      <c r="CP107" s="601"/>
      <c r="CQ107" s="601"/>
      <c r="CR107" s="601"/>
      <c r="CS107" s="601"/>
      <c r="CT107" s="601"/>
      <c r="CU107" s="601"/>
      <c r="CV107" s="601"/>
      <c r="CW107" s="601"/>
      <c r="CX107" s="601"/>
      <c r="CY107" s="601"/>
      <c r="CZ107" s="601"/>
      <c r="DA107" s="601"/>
    </row>
    <row r="108" spans="1:109" s="317" customFormat="1" ht="22.5" customHeight="1" x14ac:dyDescent="0.25">
      <c r="A108" s="595" t="s">
        <v>406</v>
      </c>
      <c r="B108" s="595"/>
      <c r="C108" s="595"/>
      <c r="D108" s="595"/>
      <c r="E108" s="595"/>
      <c r="F108" s="595"/>
      <c r="G108" s="595"/>
      <c r="H108" s="596" t="s">
        <v>700</v>
      </c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6"/>
      <c r="Y108" s="596"/>
      <c r="Z108" s="596"/>
      <c r="AA108" s="596"/>
      <c r="AB108" s="596"/>
      <c r="AC108" s="596"/>
      <c r="AD108" s="596"/>
      <c r="AE108" s="596"/>
      <c r="AF108" s="596"/>
      <c r="AG108" s="596"/>
      <c r="AH108" s="596"/>
      <c r="AI108" s="596"/>
      <c r="AJ108" s="596"/>
      <c r="AK108" s="596"/>
      <c r="AL108" s="596"/>
      <c r="AM108" s="596"/>
      <c r="AN108" s="596"/>
      <c r="AO108" s="596"/>
      <c r="AP108" s="596"/>
      <c r="AQ108" s="596"/>
      <c r="AR108" s="596"/>
      <c r="AS108" s="596"/>
      <c r="AT108" s="596"/>
      <c r="AU108" s="596"/>
      <c r="AV108" s="596"/>
      <c r="AW108" s="596"/>
      <c r="AX108" s="596"/>
      <c r="AY108" s="596"/>
      <c r="AZ108" s="596"/>
      <c r="BA108" s="596"/>
      <c r="BB108" s="596"/>
      <c r="BC108" s="596"/>
      <c r="BD108" s="597">
        <v>4800</v>
      </c>
      <c r="BE108" s="597"/>
      <c r="BF108" s="597"/>
      <c r="BG108" s="597"/>
      <c r="BH108" s="597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597"/>
      <c r="BS108" s="597"/>
      <c r="BT108" s="597">
        <v>3</v>
      </c>
      <c r="BU108" s="597"/>
      <c r="BV108" s="597"/>
      <c r="BW108" s="597"/>
      <c r="BX108" s="597"/>
      <c r="BY108" s="597"/>
      <c r="BZ108" s="597"/>
      <c r="CA108" s="597"/>
      <c r="CB108" s="597"/>
      <c r="CC108" s="597"/>
      <c r="CD108" s="597"/>
      <c r="CE108" s="597"/>
      <c r="CF108" s="597"/>
      <c r="CG108" s="597"/>
      <c r="CH108" s="597"/>
      <c r="CI108" s="597"/>
      <c r="CJ108" s="601">
        <f>BD108*BT108</f>
        <v>14400</v>
      </c>
      <c r="CK108" s="601"/>
      <c r="CL108" s="601"/>
      <c r="CM108" s="601"/>
      <c r="CN108" s="601"/>
      <c r="CO108" s="601"/>
      <c r="CP108" s="601"/>
      <c r="CQ108" s="601"/>
      <c r="CR108" s="601"/>
      <c r="CS108" s="601"/>
      <c r="CT108" s="601"/>
      <c r="CU108" s="601"/>
      <c r="CV108" s="601"/>
      <c r="CW108" s="601"/>
      <c r="CX108" s="601"/>
      <c r="CY108" s="601"/>
      <c r="CZ108" s="601"/>
      <c r="DA108" s="601"/>
    </row>
    <row r="109" spans="1:109" s="317" customFormat="1" ht="15" customHeight="1" x14ac:dyDescent="0.25">
      <c r="A109" s="595"/>
      <c r="B109" s="595"/>
      <c r="C109" s="595"/>
      <c r="D109" s="595"/>
      <c r="E109" s="595"/>
      <c r="F109" s="595"/>
      <c r="G109" s="595"/>
      <c r="H109" s="606" t="s">
        <v>610</v>
      </c>
      <c r="I109" s="606"/>
      <c r="J109" s="606"/>
      <c r="K109" s="606"/>
      <c r="L109" s="606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  <c r="W109" s="606"/>
      <c r="X109" s="606"/>
      <c r="Y109" s="606"/>
      <c r="Z109" s="606"/>
      <c r="AA109" s="606"/>
      <c r="AB109" s="606"/>
      <c r="AC109" s="606"/>
      <c r="AD109" s="606"/>
      <c r="AE109" s="606"/>
      <c r="AF109" s="606"/>
      <c r="AG109" s="606"/>
      <c r="AH109" s="606"/>
      <c r="AI109" s="606"/>
      <c r="AJ109" s="606"/>
      <c r="AK109" s="606"/>
      <c r="AL109" s="606"/>
      <c r="AM109" s="606"/>
      <c r="AN109" s="606"/>
      <c r="AO109" s="606"/>
      <c r="AP109" s="606"/>
      <c r="AQ109" s="606"/>
      <c r="AR109" s="606"/>
      <c r="AS109" s="606"/>
      <c r="AT109" s="606"/>
      <c r="AU109" s="606"/>
      <c r="AV109" s="606"/>
      <c r="AW109" s="606"/>
      <c r="AX109" s="606"/>
      <c r="AY109" s="606"/>
      <c r="AZ109" s="606"/>
      <c r="BA109" s="606"/>
      <c r="BB109" s="606"/>
      <c r="BC109" s="607"/>
      <c r="BD109" s="597" t="s">
        <v>487</v>
      </c>
      <c r="BE109" s="597"/>
      <c r="BF109" s="597"/>
      <c r="BG109" s="597"/>
      <c r="BH109" s="597"/>
      <c r="BI109" s="597"/>
      <c r="BJ109" s="597"/>
      <c r="BK109" s="597"/>
      <c r="BL109" s="597"/>
      <c r="BM109" s="597"/>
      <c r="BN109" s="597"/>
      <c r="BO109" s="597"/>
      <c r="BP109" s="597"/>
      <c r="BQ109" s="597"/>
      <c r="BR109" s="597"/>
      <c r="BS109" s="597"/>
      <c r="BT109" s="597" t="s">
        <v>487</v>
      </c>
      <c r="BU109" s="597"/>
      <c r="BV109" s="597"/>
      <c r="BW109" s="597"/>
      <c r="BX109" s="597"/>
      <c r="BY109" s="597"/>
      <c r="BZ109" s="597"/>
      <c r="CA109" s="597"/>
      <c r="CB109" s="597"/>
      <c r="CC109" s="597"/>
      <c r="CD109" s="597"/>
      <c r="CE109" s="597"/>
      <c r="CF109" s="597"/>
      <c r="CG109" s="597"/>
      <c r="CH109" s="597"/>
      <c r="CI109" s="597"/>
      <c r="CJ109" s="608">
        <f>ROUND((CJ106+CJ107+CJ108),-2)</f>
        <v>105600</v>
      </c>
      <c r="CK109" s="608"/>
      <c r="CL109" s="608"/>
      <c r="CM109" s="608"/>
      <c r="CN109" s="608"/>
      <c r="CO109" s="608"/>
      <c r="CP109" s="608"/>
      <c r="CQ109" s="608"/>
      <c r="CR109" s="608"/>
      <c r="CS109" s="608"/>
      <c r="CT109" s="608"/>
      <c r="CU109" s="608"/>
      <c r="CV109" s="608"/>
      <c r="CW109" s="608"/>
      <c r="CX109" s="608"/>
      <c r="CY109" s="608"/>
      <c r="CZ109" s="608"/>
      <c r="DA109" s="608"/>
    </row>
    <row r="110" spans="1:109" ht="13.5" customHeight="1" x14ac:dyDescent="0.25"/>
    <row r="111" spans="1:109" s="315" customFormat="1" ht="34.5" customHeight="1" x14ac:dyDescent="0.2">
      <c r="A111" s="591" t="s">
        <v>701</v>
      </c>
      <c r="B111" s="591"/>
      <c r="C111" s="591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91"/>
      <c r="AK111" s="591"/>
      <c r="AL111" s="591"/>
      <c r="AM111" s="591"/>
      <c r="AN111" s="591"/>
      <c r="AO111" s="591"/>
      <c r="AP111" s="591"/>
      <c r="AQ111" s="591"/>
      <c r="AR111" s="591"/>
      <c r="AS111" s="591"/>
      <c r="AT111" s="591"/>
      <c r="AU111" s="591"/>
      <c r="AV111" s="591"/>
      <c r="AW111" s="591"/>
      <c r="AX111" s="591"/>
      <c r="AY111" s="591"/>
      <c r="AZ111" s="591"/>
      <c r="BA111" s="591"/>
      <c r="BB111" s="591"/>
      <c r="BC111" s="591"/>
      <c r="BD111" s="591"/>
      <c r="BE111" s="591"/>
      <c r="BF111" s="591"/>
      <c r="BG111" s="591"/>
      <c r="BH111" s="591"/>
      <c r="BI111" s="591"/>
      <c r="BJ111" s="591"/>
      <c r="BK111" s="591"/>
      <c r="BL111" s="591"/>
      <c r="BM111" s="591"/>
      <c r="BN111" s="591"/>
      <c r="BO111" s="591"/>
      <c r="BP111" s="591"/>
      <c r="BQ111" s="591"/>
      <c r="BR111" s="591"/>
      <c r="BS111" s="591"/>
      <c r="BT111" s="591"/>
      <c r="BU111" s="591"/>
      <c r="BV111" s="591"/>
      <c r="BW111" s="591"/>
      <c r="BX111" s="591"/>
      <c r="BY111" s="591"/>
      <c r="BZ111" s="591"/>
      <c r="CA111" s="591"/>
      <c r="CB111" s="591"/>
      <c r="CC111" s="591"/>
      <c r="CD111" s="591"/>
      <c r="CE111" s="591"/>
      <c r="CF111" s="591"/>
      <c r="CG111" s="591"/>
      <c r="CH111" s="591"/>
      <c r="CI111" s="591"/>
      <c r="CJ111" s="591"/>
      <c r="CK111" s="591"/>
      <c r="CL111" s="591"/>
      <c r="CM111" s="591"/>
      <c r="CN111" s="591"/>
      <c r="CO111" s="591"/>
      <c r="CP111" s="591"/>
      <c r="CQ111" s="591"/>
      <c r="CR111" s="591"/>
      <c r="CS111" s="591"/>
      <c r="CT111" s="591"/>
      <c r="CU111" s="591"/>
      <c r="CV111" s="591"/>
      <c r="CW111" s="591"/>
      <c r="CX111" s="591"/>
      <c r="CY111" s="591"/>
      <c r="CZ111" s="591"/>
      <c r="DA111" s="591"/>
      <c r="DE111" s="202" t="s">
        <v>702</v>
      </c>
    </row>
    <row r="112" spans="1:109" ht="6" customHeight="1" x14ac:dyDescent="0.25"/>
    <row r="113" spans="1:109" ht="10.5" customHeight="1" x14ac:dyDescent="0.25"/>
    <row r="114" spans="1:109" s="318" customFormat="1" ht="45" customHeight="1" x14ac:dyDescent="0.25">
      <c r="A114" s="592" t="s">
        <v>146</v>
      </c>
      <c r="B114" s="593"/>
      <c r="C114" s="593"/>
      <c r="D114" s="593"/>
      <c r="E114" s="593"/>
      <c r="F114" s="593"/>
      <c r="G114" s="594"/>
      <c r="H114" s="592" t="s">
        <v>252</v>
      </c>
      <c r="I114" s="593"/>
      <c r="J114" s="593"/>
      <c r="K114" s="593"/>
      <c r="L114" s="593"/>
      <c r="M114" s="593"/>
      <c r="N114" s="593"/>
      <c r="O114" s="593"/>
      <c r="P114" s="593"/>
      <c r="Q114" s="593"/>
      <c r="R114" s="593"/>
      <c r="S114" s="593"/>
      <c r="T114" s="593"/>
      <c r="U114" s="593"/>
      <c r="V114" s="593"/>
      <c r="W114" s="593"/>
      <c r="X114" s="593"/>
      <c r="Y114" s="593"/>
      <c r="Z114" s="593"/>
      <c r="AA114" s="593"/>
      <c r="AB114" s="593"/>
      <c r="AC114" s="593"/>
      <c r="AD114" s="593"/>
      <c r="AE114" s="593"/>
      <c r="AF114" s="593"/>
      <c r="AG114" s="593"/>
      <c r="AH114" s="593"/>
      <c r="AI114" s="593"/>
      <c r="AJ114" s="593"/>
      <c r="AK114" s="593"/>
      <c r="AL114" s="593"/>
      <c r="AM114" s="593"/>
      <c r="AN114" s="593"/>
      <c r="AO114" s="593"/>
      <c r="AP114" s="593"/>
      <c r="AQ114" s="593"/>
      <c r="AR114" s="593"/>
      <c r="AS114" s="593"/>
      <c r="AT114" s="593"/>
      <c r="AU114" s="593"/>
      <c r="AV114" s="593"/>
      <c r="AW114" s="593"/>
      <c r="AX114" s="593"/>
      <c r="AY114" s="593"/>
      <c r="AZ114" s="593"/>
      <c r="BA114" s="593"/>
      <c r="BB114" s="593"/>
      <c r="BC114" s="594"/>
      <c r="BD114" s="592" t="s">
        <v>689</v>
      </c>
      <c r="BE114" s="593"/>
      <c r="BF114" s="593"/>
      <c r="BG114" s="593"/>
      <c r="BH114" s="593"/>
      <c r="BI114" s="593"/>
      <c r="BJ114" s="593"/>
      <c r="BK114" s="593"/>
      <c r="BL114" s="593"/>
      <c r="BM114" s="593"/>
      <c r="BN114" s="593"/>
      <c r="BO114" s="593"/>
      <c r="BP114" s="593"/>
      <c r="BQ114" s="593"/>
      <c r="BR114" s="593"/>
      <c r="BS114" s="594"/>
      <c r="BT114" s="592" t="s">
        <v>690</v>
      </c>
      <c r="BU114" s="593"/>
      <c r="BV114" s="593"/>
      <c r="BW114" s="593"/>
      <c r="BX114" s="593"/>
      <c r="BY114" s="593"/>
      <c r="BZ114" s="593"/>
      <c r="CA114" s="593"/>
      <c r="CB114" s="593"/>
      <c r="CC114" s="593"/>
      <c r="CD114" s="593"/>
      <c r="CE114" s="593"/>
      <c r="CF114" s="593"/>
      <c r="CG114" s="593"/>
      <c r="CH114" s="593"/>
      <c r="CI114" s="594"/>
      <c r="CJ114" s="592" t="s">
        <v>691</v>
      </c>
      <c r="CK114" s="593"/>
      <c r="CL114" s="593"/>
      <c r="CM114" s="593"/>
      <c r="CN114" s="593"/>
      <c r="CO114" s="593"/>
      <c r="CP114" s="593"/>
      <c r="CQ114" s="593"/>
      <c r="CR114" s="593"/>
      <c r="CS114" s="593"/>
      <c r="CT114" s="593"/>
      <c r="CU114" s="593"/>
      <c r="CV114" s="593"/>
      <c r="CW114" s="593"/>
      <c r="CX114" s="593"/>
      <c r="CY114" s="593"/>
      <c r="CZ114" s="593"/>
      <c r="DA114" s="594"/>
    </row>
    <row r="115" spans="1:109" s="209" customFormat="1" ht="12.75" x14ac:dyDescent="0.25">
      <c r="A115" s="602">
        <v>1</v>
      </c>
      <c r="B115" s="602"/>
      <c r="C115" s="602"/>
      <c r="D115" s="602"/>
      <c r="E115" s="602"/>
      <c r="F115" s="602"/>
      <c r="G115" s="602"/>
      <c r="H115" s="602">
        <v>2</v>
      </c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2"/>
      <c r="AK115" s="602"/>
      <c r="AL115" s="602"/>
      <c r="AM115" s="602"/>
      <c r="AN115" s="602"/>
      <c r="AO115" s="602"/>
      <c r="AP115" s="602"/>
      <c r="AQ115" s="602"/>
      <c r="AR115" s="602"/>
      <c r="AS115" s="602"/>
      <c r="AT115" s="602"/>
      <c r="AU115" s="602"/>
      <c r="AV115" s="602"/>
      <c r="AW115" s="602"/>
      <c r="AX115" s="602"/>
      <c r="AY115" s="602"/>
      <c r="AZ115" s="602"/>
      <c r="BA115" s="602"/>
      <c r="BB115" s="602"/>
      <c r="BC115" s="602"/>
      <c r="BD115" s="602">
        <v>3</v>
      </c>
      <c r="BE115" s="602"/>
      <c r="BF115" s="602"/>
      <c r="BG115" s="602"/>
      <c r="BH115" s="602"/>
      <c r="BI115" s="602"/>
      <c r="BJ115" s="602"/>
      <c r="BK115" s="602"/>
      <c r="BL115" s="602"/>
      <c r="BM115" s="602"/>
      <c r="BN115" s="602"/>
      <c r="BO115" s="602"/>
      <c r="BP115" s="602"/>
      <c r="BQ115" s="602"/>
      <c r="BR115" s="602"/>
      <c r="BS115" s="602"/>
      <c r="BT115" s="602">
        <v>4</v>
      </c>
      <c r="BU115" s="602"/>
      <c r="BV115" s="602"/>
      <c r="BW115" s="602"/>
      <c r="BX115" s="602"/>
      <c r="BY115" s="602"/>
      <c r="BZ115" s="602"/>
      <c r="CA115" s="602"/>
      <c r="CB115" s="602"/>
      <c r="CC115" s="602"/>
      <c r="CD115" s="602"/>
      <c r="CE115" s="602"/>
      <c r="CF115" s="602"/>
      <c r="CG115" s="602"/>
      <c r="CH115" s="602"/>
      <c r="CI115" s="602"/>
      <c r="CJ115" s="602">
        <v>5</v>
      </c>
      <c r="CK115" s="602"/>
      <c r="CL115" s="602"/>
      <c r="CM115" s="602"/>
      <c r="CN115" s="602"/>
      <c r="CO115" s="602"/>
      <c r="CP115" s="602"/>
      <c r="CQ115" s="602"/>
      <c r="CR115" s="602"/>
      <c r="CS115" s="602"/>
      <c r="CT115" s="602"/>
      <c r="CU115" s="602"/>
      <c r="CV115" s="602"/>
      <c r="CW115" s="602"/>
      <c r="CX115" s="602"/>
      <c r="CY115" s="602"/>
      <c r="CZ115" s="602"/>
      <c r="DA115" s="602"/>
    </row>
    <row r="116" spans="1:109" s="317" customFormat="1" ht="15" customHeight="1" x14ac:dyDescent="0.25">
      <c r="A116" s="595" t="s">
        <v>381</v>
      </c>
      <c r="B116" s="595"/>
      <c r="C116" s="595"/>
      <c r="D116" s="595"/>
      <c r="E116" s="595"/>
      <c r="F116" s="595"/>
      <c r="G116" s="595"/>
      <c r="H116" s="596" t="s">
        <v>387</v>
      </c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6"/>
      <c r="X116" s="596"/>
      <c r="Y116" s="596"/>
      <c r="Z116" s="596"/>
      <c r="AA116" s="596"/>
      <c r="AB116" s="596"/>
      <c r="AC116" s="596"/>
      <c r="AD116" s="596"/>
      <c r="AE116" s="596"/>
      <c r="AF116" s="596"/>
      <c r="AG116" s="596"/>
      <c r="AH116" s="596"/>
      <c r="AI116" s="596"/>
      <c r="AJ116" s="596"/>
      <c r="AK116" s="596"/>
      <c r="AL116" s="596"/>
      <c r="AM116" s="596"/>
      <c r="AN116" s="596"/>
      <c r="AO116" s="596"/>
      <c r="AP116" s="596"/>
      <c r="AQ116" s="596"/>
      <c r="AR116" s="596"/>
      <c r="AS116" s="596"/>
      <c r="AT116" s="596"/>
      <c r="AU116" s="596"/>
      <c r="AV116" s="596"/>
      <c r="AW116" s="596"/>
      <c r="AX116" s="596"/>
      <c r="AY116" s="596"/>
      <c r="AZ116" s="596"/>
      <c r="BA116" s="596"/>
      <c r="BB116" s="596"/>
      <c r="BC116" s="596"/>
      <c r="BD116" s="597">
        <v>45000</v>
      </c>
      <c r="BE116" s="597"/>
      <c r="BF116" s="597"/>
      <c r="BG116" s="597"/>
      <c r="BH116" s="597"/>
      <c r="BI116" s="597"/>
      <c r="BJ116" s="597"/>
      <c r="BK116" s="597"/>
      <c r="BL116" s="597"/>
      <c r="BM116" s="597"/>
      <c r="BN116" s="597"/>
      <c r="BO116" s="597"/>
      <c r="BP116" s="597"/>
      <c r="BQ116" s="597"/>
      <c r="BR116" s="597"/>
      <c r="BS116" s="597"/>
      <c r="BT116" s="803">
        <v>107</v>
      </c>
      <c r="BU116" s="803"/>
      <c r="BV116" s="803"/>
      <c r="BW116" s="803"/>
      <c r="BX116" s="803"/>
      <c r="BY116" s="803"/>
      <c r="BZ116" s="803"/>
      <c r="CA116" s="803"/>
      <c r="CB116" s="803"/>
      <c r="CC116" s="803"/>
      <c r="CD116" s="803"/>
      <c r="CE116" s="803"/>
      <c r="CF116" s="803"/>
      <c r="CG116" s="803"/>
      <c r="CH116" s="803"/>
      <c r="CI116" s="803"/>
      <c r="CJ116" s="601">
        <v>3500700</v>
      </c>
      <c r="CK116" s="601"/>
      <c r="CL116" s="601"/>
      <c r="CM116" s="601"/>
      <c r="CN116" s="601"/>
      <c r="CO116" s="601"/>
      <c r="CP116" s="601"/>
      <c r="CQ116" s="601"/>
      <c r="CR116" s="601"/>
      <c r="CS116" s="601"/>
      <c r="CT116" s="601"/>
      <c r="CU116" s="601"/>
      <c r="CV116" s="601"/>
      <c r="CW116" s="601"/>
      <c r="CX116" s="601"/>
      <c r="CY116" s="601"/>
      <c r="CZ116" s="601"/>
      <c r="DA116" s="601"/>
    </row>
    <row r="117" spans="1:109" s="317" customFormat="1" ht="15" customHeight="1" x14ac:dyDescent="0.25">
      <c r="A117" s="595"/>
      <c r="B117" s="595"/>
      <c r="C117" s="595"/>
      <c r="D117" s="595"/>
      <c r="E117" s="595"/>
      <c r="F117" s="595"/>
      <c r="G117" s="595"/>
      <c r="H117" s="606" t="s">
        <v>610</v>
      </c>
      <c r="I117" s="606"/>
      <c r="J117" s="606"/>
      <c r="K117" s="606"/>
      <c r="L117" s="606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  <c r="W117" s="606"/>
      <c r="X117" s="606"/>
      <c r="Y117" s="606"/>
      <c r="Z117" s="606"/>
      <c r="AA117" s="606"/>
      <c r="AB117" s="606"/>
      <c r="AC117" s="606"/>
      <c r="AD117" s="606"/>
      <c r="AE117" s="606"/>
      <c r="AF117" s="606"/>
      <c r="AG117" s="606"/>
      <c r="AH117" s="606"/>
      <c r="AI117" s="606"/>
      <c r="AJ117" s="606"/>
      <c r="AK117" s="606"/>
      <c r="AL117" s="606"/>
      <c r="AM117" s="606"/>
      <c r="AN117" s="606"/>
      <c r="AO117" s="606"/>
      <c r="AP117" s="606"/>
      <c r="AQ117" s="606"/>
      <c r="AR117" s="606"/>
      <c r="AS117" s="606"/>
      <c r="AT117" s="606"/>
      <c r="AU117" s="606"/>
      <c r="AV117" s="606"/>
      <c r="AW117" s="606"/>
      <c r="AX117" s="606"/>
      <c r="AY117" s="606"/>
      <c r="AZ117" s="606"/>
      <c r="BA117" s="606"/>
      <c r="BB117" s="606"/>
      <c r="BC117" s="607"/>
      <c r="BD117" s="597" t="s">
        <v>487</v>
      </c>
      <c r="BE117" s="597"/>
      <c r="BF117" s="597"/>
      <c r="BG117" s="597"/>
      <c r="BH117" s="597"/>
      <c r="BI117" s="597"/>
      <c r="BJ117" s="597"/>
      <c r="BK117" s="597"/>
      <c r="BL117" s="597"/>
      <c r="BM117" s="597"/>
      <c r="BN117" s="597"/>
      <c r="BO117" s="597"/>
      <c r="BP117" s="597"/>
      <c r="BQ117" s="597"/>
      <c r="BR117" s="597"/>
      <c r="BS117" s="597"/>
      <c r="BT117" s="597" t="s">
        <v>487</v>
      </c>
      <c r="BU117" s="597"/>
      <c r="BV117" s="597"/>
      <c r="BW117" s="597"/>
      <c r="BX117" s="597"/>
      <c r="BY117" s="597"/>
      <c r="BZ117" s="597"/>
      <c r="CA117" s="597"/>
      <c r="CB117" s="597"/>
      <c r="CC117" s="597"/>
      <c r="CD117" s="597"/>
      <c r="CE117" s="597"/>
      <c r="CF117" s="597"/>
      <c r="CG117" s="597"/>
      <c r="CH117" s="597"/>
      <c r="CI117" s="597"/>
      <c r="CJ117" s="608">
        <f>CJ116</f>
        <v>3500700</v>
      </c>
      <c r="CK117" s="608"/>
      <c r="CL117" s="608"/>
      <c r="CM117" s="608"/>
      <c r="CN117" s="608"/>
      <c r="CO117" s="608"/>
      <c r="CP117" s="608"/>
      <c r="CQ117" s="608"/>
      <c r="CR117" s="608"/>
      <c r="CS117" s="608"/>
      <c r="CT117" s="608"/>
      <c r="CU117" s="608"/>
      <c r="CV117" s="608"/>
      <c r="CW117" s="608"/>
      <c r="CX117" s="608"/>
      <c r="CY117" s="608"/>
      <c r="CZ117" s="608"/>
      <c r="DA117" s="608"/>
    </row>
    <row r="119" spans="1:109" s="315" customFormat="1" ht="42.75" hidden="1" customHeight="1" x14ac:dyDescent="0.2">
      <c r="A119" s="591" t="s">
        <v>703</v>
      </c>
      <c r="B119" s="591"/>
      <c r="C119" s="591"/>
      <c r="D119" s="591"/>
      <c r="E119" s="591"/>
      <c r="F119" s="591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1"/>
      <c r="R119" s="591"/>
      <c r="S119" s="591"/>
      <c r="T119" s="591"/>
      <c r="U119" s="591"/>
      <c r="V119" s="591"/>
      <c r="W119" s="591"/>
      <c r="X119" s="591"/>
      <c r="Y119" s="591"/>
      <c r="Z119" s="591"/>
      <c r="AA119" s="591"/>
      <c r="AB119" s="591"/>
      <c r="AC119" s="591"/>
      <c r="AD119" s="591"/>
      <c r="AE119" s="591"/>
      <c r="AF119" s="591"/>
      <c r="AG119" s="591"/>
      <c r="AH119" s="591"/>
      <c r="AI119" s="591"/>
      <c r="AJ119" s="591"/>
      <c r="AK119" s="591"/>
      <c r="AL119" s="591"/>
      <c r="AM119" s="591"/>
      <c r="AN119" s="591"/>
      <c r="AO119" s="591"/>
      <c r="AP119" s="591"/>
      <c r="AQ119" s="591"/>
      <c r="AR119" s="591"/>
      <c r="AS119" s="591"/>
      <c r="AT119" s="591"/>
      <c r="AU119" s="591"/>
      <c r="AV119" s="591"/>
      <c r="AW119" s="591"/>
      <c r="AX119" s="591"/>
      <c r="AY119" s="591"/>
      <c r="AZ119" s="591"/>
      <c r="BA119" s="591"/>
      <c r="BB119" s="591"/>
      <c r="BC119" s="591"/>
      <c r="BD119" s="591"/>
      <c r="BE119" s="591"/>
      <c r="BF119" s="591"/>
      <c r="BG119" s="591"/>
      <c r="BH119" s="591"/>
      <c r="BI119" s="591"/>
      <c r="BJ119" s="591"/>
      <c r="BK119" s="591"/>
      <c r="BL119" s="591"/>
      <c r="BM119" s="591"/>
      <c r="BN119" s="591"/>
      <c r="BO119" s="591"/>
      <c r="BP119" s="591"/>
      <c r="BQ119" s="591"/>
      <c r="BR119" s="591"/>
      <c r="BS119" s="591"/>
      <c r="BT119" s="591"/>
      <c r="BU119" s="591"/>
      <c r="BV119" s="591"/>
      <c r="BW119" s="591"/>
      <c r="BX119" s="591"/>
      <c r="BY119" s="591"/>
      <c r="BZ119" s="591"/>
      <c r="CA119" s="591"/>
      <c r="CB119" s="591"/>
      <c r="CC119" s="591"/>
      <c r="CD119" s="591"/>
      <c r="CE119" s="591"/>
      <c r="CF119" s="591"/>
      <c r="CG119" s="591"/>
      <c r="CH119" s="591"/>
      <c r="CI119" s="591"/>
      <c r="CJ119" s="591"/>
      <c r="CK119" s="591"/>
      <c r="CL119" s="591"/>
      <c r="CM119" s="591"/>
      <c r="CN119" s="591"/>
      <c r="CO119" s="591"/>
      <c r="CP119" s="591"/>
      <c r="CQ119" s="591"/>
      <c r="CR119" s="591"/>
      <c r="CS119" s="591"/>
      <c r="CT119" s="591"/>
      <c r="CU119" s="591"/>
      <c r="CV119" s="591"/>
      <c r="CW119" s="591"/>
      <c r="CX119" s="591"/>
      <c r="CY119" s="591"/>
      <c r="CZ119" s="591"/>
      <c r="DA119" s="591"/>
      <c r="DE119" s="340" t="s">
        <v>704</v>
      </c>
    </row>
    <row r="120" spans="1:109" ht="6" hidden="1" customHeight="1" x14ac:dyDescent="0.25"/>
    <row r="121" spans="1:109" ht="10.5" hidden="1" customHeight="1" x14ac:dyDescent="0.25"/>
    <row r="122" spans="1:109" s="318" customFormat="1" ht="45" hidden="1" customHeight="1" x14ac:dyDescent="0.25">
      <c r="A122" s="592" t="s">
        <v>146</v>
      </c>
      <c r="B122" s="593"/>
      <c r="C122" s="593"/>
      <c r="D122" s="593"/>
      <c r="E122" s="593"/>
      <c r="F122" s="593"/>
      <c r="G122" s="594"/>
      <c r="H122" s="592" t="s">
        <v>252</v>
      </c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3"/>
      <c r="AD122" s="593"/>
      <c r="AE122" s="593"/>
      <c r="AF122" s="593"/>
      <c r="AG122" s="593"/>
      <c r="AH122" s="593"/>
      <c r="AI122" s="593"/>
      <c r="AJ122" s="593"/>
      <c r="AK122" s="593"/>
      <c r="AL122" s="593"/>
      <c r="AM122" s="593"/>
      <c r="AN122" s="593"/>
      <c r="AO122" s="593"/>
      <c r="AP122" s="593"/>
      <c r="AQ122" s="593"/>
      <c r="AR122" s="593"/>
      <c r="AS122" s="593"/>
      <c r="AT122" s="593"/>
      <c r="AU122" s="593"/>
      <c r="AV122" s="593"/>
      <c r="AW122" s="593"/>
      <c r="AX122" s="593"/>
      <c r="AY122" s="593"/>
      <c r="AZ122" s="593"/>
      <c r="BA122" s="593"/>
      <c r="BB122" s="593"/>
      <c r="BC122" s="594"/>
      <c r="BD122" s="592" t="s">
        <v>689</v>
      </c>
      <c r="BE122" s="593"/>
      <c r="BF122" s="593"/>
      <c r="BG122" s="593"/>
      <c r="BH122" s="593"/>
      <c r="BI122" s="593"/>
      <c r="BJ122" s="593"/>
      <c r="BK122" s="593"/>
      <c r="BL122" s="593"/>
      <c r="BM122" s="593"/>
      <c r="BN122" s="593"/>
      <c r="BO122" s="593"/>
      <c r="BP122" s="593"/>
      <c r="BQ122" s="593"/>
      <c r="BR122" s="593"/>
      <c r="BS122" s="594"/>
      <c r="BT122" s="592" t="s">
        <v>690</v>
      </c>
      <c r="BU122" s="593"/>
      <c r="BV122" s="593"/>
      <c r="BW122" s="593"/>
      <c r="BX122" s="593"/>
      <c r="BY122" s="593"/>
      <c r="BZ122" s="593"/>
      <c r="CA122" s="593"/>
      <c r="CB122" s="593"/>
      <c r="CC122" s="593"/>
      <c r="CD122" s="593"/>
      <c r="CE122" s="593"/>
      <c r="CF122" s="593"/>
      <c r="CG122" s="593"/>
      <c r="CH122" s="593"/>
      <c r="CI122" s="594"/>
      <c r="CJ122" s="592" t="s">
        <v>691</v>
      </c>
      <c r="CK122" s="593"/>
      <c r="CL122" s="593"/>
      <c r="CM122" s="593"/>
      <c r="CN122" s="593"/>
      <c r="CO122" s="593"/>
      <c r="CP122" s="593"/>
      <c r="CQ122" s="593"/>
      <c r="CR122" s="593"/>
      <c r="CS122" s="593"/>
      <c r="CT122" s="593"/>
      <c r="CU122" s="593"/>
      <c r="CV122" s="593"/>
      <c r="CW122" s="593"/>
      <c r="CX122" s="593"/>
      <c r="CY122" s="593"/>
      <c r="CZ122" s="593"/>
      <c r="DA122" s="594"/>
    </row>
    <row r="123" spans="1:109" s="209" customFormat="1" ht="12.75" hidden="1" x14ac:dyDescent="0.25">
      <c r="A123" s="602">
        <v>1</v>
      </c>
      <c r="B123" s="602"/>
      <c r="C123" s="602"/>
      <c r="D123" s="602"/>
      <c r="E123" s="602"/>
      <c r="F123" s="602"/>
      <c r="G123" s="602"/>
      <c r="H123" s="602">
        <v>2</v>
      </c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602"/>
      <c r="Z123" s="602"/>
      <c r="AA123" s="602"/>
      <c r="AB123" s="602"/>
      <c r="AC123" s="602"/>
      <c r="AD123" s="602"/>
      <c r="AE123" s="602"/>
      <c r="AF123" s="602"/>
      <c r="AG123" s="602"/>
      <c r="AH123" s="602"/>
      <c r="AI123" s="602"/>
      <c r="AJ123" s="602"/>
      <c r="AK123" s="602"/>
      <c r="AL123" s="602"/>
      <c r="AM123" s="602"/>
      <c r="AN123" s="602"/>
      <c r="AO123" s="602"/>
      <c r="AP123" s="602"/>
      <c r="AQ123" s="602"/>
      <c r="AR123" s="602"/>
      <c r="AS123" s="602"/>
      <c r="AT123" s="602"/>
      <c r="AU123" s="602"/>
      <c r="AV123" s="602"/>
      <c r="AW123" s="602"/>
      <c r="AX123" s="602"/>
      <c r="AY123" s="602"/>
      <c r="AZ123" s="602"/>
      <c r="BA123" s="602"/>
      <c r="BB123" s="602"/>
      <c r="BC123" s="602"/>
      <c r="BD123" s="602">
        <v>3</v>
      </c>
      <c r="BE123" s="602"/>
      <c r="BF123" s="602"/>
      <c r="BG123" s="602"/>
      <c r="BH123" s="602"/>
      <c r="BI123" s="602"/>
      <c r="BJ123" s="602"/>
      <c r="BK123" s="602"/>
      <c r="BL123" s="602"/>
      <c r="BM123" s="602"/>
      <c r="BN123" s="602"/>
      <c r="BO123" s="602"/>
      <c r="BP123" s="602"/>
      <c r="BQ123" s="602"/>
      <c r="BR123" s="602"/>
      <c r="BS123" s="602"/>
      <c r="BT123" s="602">
        <v>4</v>
      </c>
      <c r="BU123" s="602"/>
      <c r="BV123" s="602"/>
      <c r="BW123" s="602"/>
      <c r="BX123" s="602"/>
      <c r="BY123" s="602"/>
      <c r="BZ123" s="602"/>
      <c r="CA123" s="602"/>
      <c r="CB123" s="602"/>
      <c r="CC123" s="602"/>
      <c r="CD123" s="602"/>
      <c r="CE123" s="602"/>
      <c r="CF123" s="602"/>
      <c r="CG123" s="602"/>
      <c r="CH123" s="602"/>
      <c r="CI123" s="602"/>
      <c r="CJ123" s="602">
        <v>5</v>
      </c>
      <c r="CK123" s="602"/>
      <c r="CL123" s="602"/>
      <c r="CM123" s="602"/>
      <c r="CN123" s="602"/>
      <c r="CO123" s="602"/>
      <c r="CP123" s="602"/>
      <c r="CQ123" s="602"/>
      <c r="CR123" s="602"/>
      <c r="CS123" s="602"/>
      <c r="CT123" s="602"/>
      <c r="CU123" s="602"/>
      <c r="CV123" s="602"/>
      <c r="CW123" s="602"/>
      <c r="CX123" s="602"/>
      <c r="CY123" s="602"/>
      <c r="CZ123" s="602"/>
      <c r="DA123" s="602"/>
    </row>
    <row r="124" spans="1:109" s="317" customFormat="1" ht="15" hidden="1" customHeight="1" x14ac:dyDescent="0.25">
      <c r="A124" s="595" t="s">
        <v>381</v>
      </c>
      <c r="B124" s="595"/>
      <c r="C124" s="595"/>
      <c r="D124" s="595"/>
      <c r="E124" s="595"/>
      <c r="F124" s="595"/>
      <c r="G124" s="595"/>
      <c r="H124" s="653" t="s">
        <v>705</v>
      </c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612"/>
      <c r="W124" s="612"/>
      <c r="X124" s="612"/>
      <c r="Y124" s="612"/>
      <c r="Z124" s="612"/>
      <c r="AA124" s="612"/>
      <c r="AB124" s="612"/>
      <c r="AC124" s="612"/>
      <c r="AD124" s="612"/>
      <c r="AE124" s="612"/>
      <c r="AF124" s="612"/>
      <c r="AG124" s="612"/>
      <c r="AH124" s="612"/>
      <c r="AI124" s="612"/>
      <c r="AJ124" s="612"/>
      <c r="AK124" s="612"/>
      <c r="AL124" s="612"/>
      <c r="AM124" s="612"/>
      <c r="AN124" s="612"/>
      <c r="AO124" s="612"/>
      <c r="AP124" s="612"/>
      <c r="AQ124" s="612"/>
      <c r="AR124" s="612"/>
      <c r="AS124" s="612"/>
      <c r="AT124" s="612"/>
      <c r="AU124" s="612"/>
      <c r="AV124" s="612"/>
      <c r="AW124" s="612"/>
      <c r="AX124" s="612"/>
      <c r="AY124" s="612"/>
      <c r="AZ124" s="612"/>
      <c r="BA124" s="612"/>
      <c r="BB124" s="612"/>
      <c r="BC124" s="613"/>
      <c r="BD124" s="597">
        <f>48000+18000</f>
        <v>66000</v>
      </c>
      <c r="BE124" s="597"/>
      <c r="BF124" s="597"/>
      <c r="BG124" s="597"/>
      <c r="BH124" s="597"/>
      <c r="BI124" s="597"/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>
        <v>1</v>
      </c>
      <c r="BU124" s="597"/>
      <c r="BV124" s="597"/>
      <c r="BW124" s="597"/>
      <c r="BX124" s="597"/>
      <c r="BY124" s="597"/>
      <c r="BZ124" s="597"/>
      <c r="CA124" s="597"/>
      <c r="CB124" s="597"/>
      <c r="CC124" s="597"/>
      <c r="CD124" s="597"/>
      <c r="CE124" s="597"/>
      <c r="CF124" s="597"/>
      <c r="CG124" s="597"/>
      <c r="CH124" s="597"/>
      <c r="CI124" s="597"/>
      <c r="CJ124" s="601"/>
      <c r="CK124" s="601"/>
      <c r="CL124" s="601"/>
      <c r="CM124" s="601"/>
      <c r="CN124" s="601"/>
      <c r="CO124" s="601"/>
      <c r="CP124" s="601"/>
      <c r="CQ124" s="601"/>
      <c r="CR124" s="601"/>
      <c r="CS124" s="601"/>
      <c r="CT124" s="601"/>
      <c r="CU124" s="601"/>
      <c r="CV124" s="601"/>
      <c r="CW124" s="601"/>
      <c r="CX124" s="601"/>
      <c r="CY124" s="601"/>
      <c r="CZ124" s="601"/>
      <c r="DA124" s="601"/>
    </row>
    <row r="125" spans="1:109" s="317" customFormat="1" ht="15" hidden="1" customHeight="1" x14ac:dyDescent="0.25">
      <c r="A125" s="804" t="s">
        <v>390</v>
      </c>
      <c r="B125" s="805"/>
      <c r="C125" s="805"/>
      <c r="D125" s="805"/>
      <c r="E125" s="805"/>
      <c r="F125" s="805"/>
      <c r="G125" s="806"/>
      <c r="H125" s="653" t="s">
        <v>706</v>
      </c>
      <c r="I125" s="612"/>
      <c r="J125" s="612"/>
      <c r="K125" s="612"/>
      <c r="L125" s="612"/>
      <c r="M125" s="612"/>
      <c r="N125" s="612"/>
      <c r="O125" s="612"/>
      <c r="P125" s="612"/>
      <c r="Q125" s="612"/>
      <c r="R125" s="612"/>
      <c r="S125" s="612"/>
      <c r="T125" s="612"/>
      <c r="U125" s="612"/>
      <c r="V125" s="612"/>
      <c r="W125" s="612"/>
      <c r="X125" s="612"/>
      <c r="Y125" s="612"/>
      <c r="Z125" s="612"/>
      <c r="AA125" s="612"/>
      <c r="AB125" s="612"/>
      <c r="AC125" s="612"/>
      <c r="AD125" s="612"/>
      <c r="AE125" s="612"/>
      <c r="AF125" s="612"/>
      <c r="AG125" s="612"/>
      <c r="AH125" s="612"/>
      <c r="AI125" s="612"/>
      <c r="AJ125" s="612"/>
      <c r="AK125" s="612"/>
      <c r="AL125" s="612"/>
      <c r="AM125" s="612"/>
      <c r="AN125" s="612"/>
      <c r="AO125" s="612"/>
      <c r="AP125" s="612"/>
      <c r="AQ125" s="612"/>
      <c r="AR125" s="612"/>
      <c r="AS125" s="612"/>
      <c r="AT125" s="612"/>
      <c r="AU125" s="612"/>
      <c r="AV125" s="612"/>
      <c r="AW125" s="612"/>
      <c r="AX125" s="612"/>
      <c r="AY125" s="612"/>
      <c r="AZ125" s="612"/>
      <c r="BA125" s="612"/>
      <c r="BB125" s="612"/>
      <c r="BC125" s="613"/>
      <c r="BD125" s="597">
        <f>48000+18000</f>
        <v>66000</v>
      </c>
      <c r="BE125" s="597"/>
      <c r="BF125" s="597"/>
      <c r="BG125" s="597"/>
      <c r="BH125" s="597"/>
      <c r="BI125" s="597"/>
      <c r="BJ125" s="597"/>
      <c r="BK125" s="597"/>
      <c r="BL125" s="597"/>
      <c r="BM125" s="597"/>
      <c r="BN125" s="597"/>
      <c r="BO125" s="597"/>
      <c r="BP125" s="597"/>
      <c r="BQ125" s="597"/>
      <c r="BR125" s="597"/>
      <c r="BS125" s="597"/>
      <c r="BT125" s="598">
        <v>1</v>
      </c>
      <c r="BU125" s="599"/>
      <c r="BV125" s="599"/>
      <c r="BW125" s="599"/>
      <c r="BX125" s="599"/>
      <c r="BY125" s="599"/>
      <c r="BZ125" s="599"/>
      <c r="CA125" s="599"/>
      <c r="CB125" s="599"/>
      <c r="CC125" s="599"/>
      <c r="CD125" s="599"/>
      <c r="CE125" s="599"/>
      <c r="CF125" s="599"/>
      <c r="CG125" s="599"/>
      <c r="CH125" s="599"/>
      <c r="CI125" s="600"/>
      <c r="CJ125" s="601"/>
      <c r="CK125" s="601"/>
      <c r="CL125" s="601"/>
      <c r="CM125" s="601"/>
      <c r="CN125" s="601"/>
      <c r="CO125" s="601"/>
      <c r="CP125" s="601"/>
      <c r="CQ125" s="601"/>
      <c r="CR125" s="601"/>
      <c r="CS125" s="601"/>
      <c r="CT125" s="601"/>
      <c r="CU125" s="601"/>
      <c r="CV125" s="601"/>
      <c r="CW125" s="601"/>
      <c r="CX125" s="601"/>
      <c r="CY125" s="601"/>
      <c r="CZ125" s="601"/>
      <c r="DA125" s="601"/>
    </row>
    <row r="126" spans="1:109" s="317" customFormat="1" ht="15" hidden="1" customHeight="1" x14ac:dyDescent="0.25">
      <c r="A126" s="595"/>
      <c r="B126" s="595"/>
      <c r="C126" s="595"/>
      <c r="D126" s="595"/>
      <c r="E126" s="595"/>
      <c r="F126" s="595"/>
      <c r="G126" s="595"/>
      <c r="H126" s="606" t="s">
        <v>610</v>
      </c>
      <c r="I126" s="606"/>
      <c r="J126" s="606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6"/>
      <c r="Y126" s="606"/>
      <c r="Z126" s="606"/>
      <c r="AA126" s="606"/>
      <c r="AB126" s="606"/>
      <c r="AC126" s="606"/>
      <c r="AD126" s="606"/>
      <c r="AE126" s="606"/>
      <c r="AF126" s="606"/>
      <c r="AG126" s="606"/>
      <c r="AH126" s="606"/>
      <c r="AI126" s="606"/>
      <c r="AJ126" s="606"/>
      <c r="AK126" s="606"/>
      <c r="AL126" s="606"/>
      <c r="AM126" s="606"/>
      <c r="AN126" s="606"/>
      <c r="AO126" s="606"/>
      <c r="AP126" s="606"/>
      <c r="AQ126" s="606"/>
      <c r="AR126" s="606"/>
      <c r="AS126" s="606"/>
      <c r="AT126" s="606"/>
      <c r="AU126" s="606"/>
      <c r="AV126" s="606"/>
      <c r="AW126" s="606"/>
      <c r="AX126" s="606"/>
      <c r="AY126" s="606"/>
      <c r="AZ126" s="606"/>
      <c r="BA126" s="606"/>
      <c r="BB126" s="606"/>
      <c r="BC126" s="607"/>
      <c r="BD126" s="597" t="s">
        <v>487</v>
      </c>
      <c r="BE126" s="597"/>
      <c r="BF126" s="597"/>
      <c r="BG126" s="597"/>
      <c r="BH126" s="597"/>
      <c r="BI126" s="597"/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 t="s">
        <v>487</v>
      </c>
      <c r="BU126" s="597"/>
      <c r="BV126" s="597"/>
      <c r="BW126" s="597"/>
      <c r="BX126" s="597"/>
      <c r="BY126" s="597"/>
      <c r="BZ126" s="597"/>
      <c r="CA126" s="597"/>
      <c r="CB126" s="597"/>
      <c r="CC126" s="597"/>
      <c r="CD126" s="597"/>
      <c r="CE126" s="597"/>
      <c r="CF126" s="597"/>
      <c r="CG126" s="597"/>
      <c r="CH126" s="597"/>
      <c r="CI126" s="597"/>
      <c r="CJ126" s="608">
        <f>CJ124+CJ125</f>
        <v>0</v>
      </c>
      <c r="CK126" s="608"/>
      <c r="CL126" s="608"/>
      <c r="CM126" s="608"/>
      <c r="CN126" s="608"/>
      <c r="CO126" s="608"/>
      <c r="CP126" s="608"/>
      <c r="CQ126" s="608"/>
      <c r="CR126" s="608"/>
      <c r="CS126" s="608"/>
      <c r="CT126" s="608"/>
      <c r="CU126" s="608"/>
      <c r="CV126" s="608"/>
      <c r="CW126" s="608"/>
      <c r="CX126" s="608"/>
      <c r="CY126" s="608"/>
      <c r="CZ126" s="608"/>
      <c r="DA126" s="608"/>
      <c r="DE126" s="317">
        <v>226</v>
      </c>
    </row>
    <row r="128" spans="1:109" ht="10.5" customHeight="1" x14ac:dyDescent="0.25"/>
    <row r="129" spans="1:109" ht="10.5" customHeight="1" x14ac:dyDescent="0.25"/>
    <row r="130" spans="1:109" s="315" customFormat="1" ht="14.25" x14ac:dyDescent="0.2">
      <c r="A130" s="609" t="s">
        <v>707</v>
      </c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09"/>
      <c r="V130" s="609"/>
      <c r="W130" s="609"/>
      <c r="X130" s="609"/>
      <c r="Y130" s="609"/>
      <c r="Z130" s="609"/>
      <c r="AA130" s="609"/>
      <c r="AB130" s="609"/>
      <c r="AC130" s="609"/>
      <c r="AD130" s="609"/>
      <c r="AE130" s="609"/>
      <c r="AF130" s="609"/>
      <c r="AG130" s="609"/>
      <c r="AH130" s="609"/>
      <c r="AI130" s="609"/>
      <c r="AJ130" s="609"/>
      <c r="AK130" s="609"/>
      <c r="AL130" s="609"/>
      <c r="AM130" s="609"/>
      <c r="AN130" s="609"/>
      <c r="AO130" s="609"/>
      <c r="AP130" s="609"/>
      <c r="AQ130" s="609"/>
      <c r="AR130" s="609"/>
      <c r="AS130" s="609"/>
      <c r="AT130" s="609"/>
      <c r="AU130" s="609"/>
      <c r="AV130" s="609"/>
      <c r="AW130" s="609"/>
      <c r="AX130" s="609"/>
      <c r="AY130" s="609"/>
      <c r="AZ130" s="609"/>
      <c r="BA130" s="609"/>
      <c r="BB130" s="609"/>
      <c r="BC130" s="609"/>
      <c r="BD130" s="609"/>
      <c r="BE130" s="609"/>
      <c r="BF130" s="609"/>
      <c r="BG130" s="609"/>
      <c r="BH130" s="609"/>
      <c r="BI130" s="609"/>
      <c r="BJ130" s="609"/>
      <c r="BK130" s="609"/>
      <c r="BL130" s="609"/>
      <c r="BM130" s="609"/>
      <c r="BN130" s="609"/>
      <c r="BO130" s="609"/>
      <c r="BP130" s="609"/>
      <c r="BQ130" s="609"/>
      <c r="BR130" s="609"/>
      <c r="BS130" s="609"/>
      <c r="BT130" s="609"/>
      <c r="BU130" s="609"/>
      <c r="BV130" s="609"/>
      <c r="BW130" s="609"/>
      <c r="BX130" s="609"/>
      <c r="BY130" s="609"/>
      <c r="BZ130" s="609"/>
      <c r="CA130" s="609"/>
      <c r="CB130" s="609"/>
      <c r="CC130" s="609"/>
      <c r="CD130" s="609"/>
      <c r="CE130" s="609"/>
      <c r="CF130" s="609"/>
      <c r="CG130" s="609"/>
      <c r="CH130" s="609"/>
      <c r="CI130" s="609"/>
      <c r="CJ130" s="609"/>
      <c r="CK130" s="609"/>
      <c r="CL130" s="609"/>
      <c r="CM130" s="609"/>
      <c r="CN130" s="609"/>
      <c r="CO130" s="609"/>
      <c r="CP130" s="609"/>
      <c r="CQ130" s="609"/>
      <c r="CR130" s="609"/>
      <c r="CS130" s="609"/>
      <c r="CT130" s="609"/>
      <c r="CU130" s="609"/>
      <c r="CV130" s="609"/>
      <c r="CW130" s="609"/>
      <c r="CX130" s="609"/>
      <c r="CY130" s="609"/>
      <c r="CZ130" s="609"/>
      <c r="DA130" s="609"/>
      <c r="DE130" s="180" t="s">
        <v>708</v>
      </c>
    </row>
    <row r="131" spans="1:109" ht="10.5" customHeight="1" x14ac:dyDescent="0.25"/>
    <row r="132" spans="1:109" s="318" customFormat="1" ht="45" customHeight="1" x14ac:dyDescent="0.25">
      <c r="A132" s="647" t="s">
        <v>146</v>
      </c>
      <c r="B132" s="648"/>
      <c r="C132" s="648"/>
      <c r="D132" s="648"/>
      <c r="E132" s="648"/>
      <c r="F132" s="648"/>
      <c r="G132" s="649"/>
      <c r="H132" s="647" t="s">
        <v>252</v>
      </c>
      <c r="I132" s="648"/>
      <c r="J132" s="648"/>
      <c r="K132" s="648"/>
      <c r="L132" s="648"/>
      <c r="M132" s="648"/>
      <c r="N132" s="648"/>
      <c r="O132" s="648"/>
      <c r="P132" s="648"/>
      <c r="Q132" s="648"/>
      <c r="R132" s="648"/>
      <c r="S132" s="648"/>
      <c r="T132" s="648"/>
      <c r="U132" s="648"/>
      <c r="V132" s="648"/>
      <c r="W132" s="648"/>
      <c r="X132" s="648"/>
      <c r="Y132" s="648"/>
      <c r="Z132" s="648"/>
      <c r="AA132" s="648"/>
      <c r="AB132" s="648"/>
      <c r="AC132" s="648"/>
      <c r="AD132" s="648"/>
      <c r="AE132" s="648"/>
      <c r="AF132" s="648"/>
      <c r="AG132" s="648"/>
      <c r="AH132" s="648"/>
      <c r="AI132" s="648"/>
      <c r="AJ132" s="648"/>
      <c r="AK132" s="648"/>
      <c r="AL132" s="648"/>
      <c r="AM132" s="648"/>
      <c r="AN132" s="648"/>
      <c r="AO132" s="649"/>
      <c r="AP132" s="647" t="s">
        <v>709</v>
      </c>
      <c r="AQ132" s="648"/>
      <c r="AR132" s="648"/>
      <c r="AS132" s="648"/>
      <c r="AT132" s="648"/>
      <c r="AU132" s="648"/>
      <c r="AV132" s="648"/>
      <c r="AW132" s="648"/>
      <c r="AX132" s="648"/>
      <c r="AY132" s="648"/>
      <c r="AZ132" s="648"/>
      <c r="BA132" s="648"/>
      <c r="BB132" s="648"/>
      <c r="BC132" s="648"/>
      <c r="BD132" s="648"/>
      <c r="BE132" s="649"/>
      <c r="BF132" s="647" t="s">
        <v>710</v>
      </c>
      <c r="BG132" s="648"/>
      <c r="BH132" s="648"/>
      <c r="BI132" s="648"/>
      <c r="BJ132" s="648"/>
      <c r="BK132" s="648"/>
      <c r="BL132" s="648"/>
      <c r="BM132" s="648"/>
      <c r="BN132" s="648"/>
      <c r="BO132" s="648"/>
      <c r="BP132" s="648"/>
      <c r="BQ132" s="648"/>
      <c r="BR132" s="648"/>
      <c r="BS132" s="648"/>
      <c r="BT132" s="648"/>
      <c r="BU132" s="649"/>
      <c r="BV132" s="647" t="s">
        <v>711</v>
      </c>
      <c r="BW132" s="648"/>
      <c r="BX132" s="648"/>
      <c r="BY132" s="648"/>
      <c r="BZ132" s="648"/>
      <c r="CA132" s="648"/>
      <c r="CB132" s="648"/>
      <c r="CC132" s="648"/>
      <c r="CD132" s="648"/>
      <c r="CE132" s="648"/>
      <c r="CF132" s="648"/>
      <c r="CG132" s="648"/>
      <c r="CH132" s="648"/>
      <c r="CI132" s="648"/>
      <c r="CJ132" s="648"/>
      <c r="CK132" s="649"/>
      <c r="CL132" s="647" t="s">
        <v>712</v>
      </c>
      <c r="CM132" s="648"/>
      <c r="CN132" s="648"/>
      <c r="CO132" s="648"/>
      <c r="CP132" s="648"/>
      <c r="CQ132" s="648"/>
      <c r="CR132" s="648"/>
      <c r="CS132" s="648"/>
      <c r="CT132" s="648"/>
      <c r="CU132" s="648"/>
      <c r="CV132" s="648"/>
      <c r="CW132" s="648"/>
      <c r="CX132" s="648"/>
      <c r="CY132" s="648"/>
      <c r="CZ132" s="648"/>
      <c r="DA132" s="649"/>
    </row>
    <row r="133" spans="1:109" s="209" customFormat="1" ht="12.75" x14ac:dyDescent="0.25">
      <c r="A133" s="602">
        <v>1</v>
      </c>
      <c r="B133" s="602"/>
      <c r="C133" s="602"/>
      <c r="D133" s="602"/>
      <c r="E133" s="602"/>
      <c r="F133" s="602"/>
      <c r="G133" s="602"/>
      <c r="H133" s="602">
        <v>2</v>
      </c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2"/>
      <c r="AO133" s="602"/>
      <c r="AP133" s="602">
        <v>4</v>
      </c>
      <c r="AQ133" s="602"/>
      <c r="AR133" s="602"/>
      <c r="AS133" s="602"/>
      <c r="AT133" s="602"/>
      <c r="AU133" s="602"/>
      <c r="AV133" s="602"/>
      <c r="AW133" s="602"/>
      <c r="AX133" s="602"/>
      <c r="AY133" s="602"/>
      <c r="AZ133" s="602"/>
      <c r="BA133" s="602"/>
      <c r="BB133" s="602"/>
      <c r="BC133" s="602"/>
      <c r="BD133" s="602"/>
      <c r="BE133" s="602"/>
      <c r="BF133" s="602">
        <v>5</v>
      </c>
      <c r="BG133" s="602"/>
      <c r="BH133" s="602"/>
      <c r="BI133" s="602"/>
      <c r="BJ133" s="602"/>
      <c r="BK133" s="602"/>
      <c r="BL133" s="602"/>
      <c r="BM133" s="602"/>
      <c r="BN133" s="602"/>
      <c r="BO133" s="602"/>
      <c r="BP133" s="602"/>
      <c r="BQ133" s="602"/>
      <c r="BR133" s="602"/>
      <c r="BS133" s="602"/>
      <c r="BT133" s="602"/>
      <c r="BU133" s="602"/>
      <c r="BV133" s="602">
        <v>6</v>
      </c>
      <c r="BW133" s="602"/>
      <c r="BX133" s="602"/>
      <c r="BY133" s="602"/>
      <c r="BZ133" s="602"/>
      <c r="CA133" s="602"/>
      <c r="CB133" s="602"/>
      <c r="CC133" s="602"/>
      <c r="CD133" s="602"/>
      <c r="CE133" s="602"/>
      <c r="CF133" s="602"/>
      <c r="CG133" s="602"/>
      <c r="CH133" s="602"/>
      <c r="CI133" s="602"/>
      <c r="CJ133" s="602"/>
      <c r="CK133" s="602"/>
      <c r="CL133" s="602">
        <v>6</v>
      </c>
      <c r="CM133" s="602"/>
      <c r="CN133" s="602"/>
      <c r="CO133" s="602"/>
      <c r="CP133" s="602"/>
      <c r="CQ133" s="602"/>
      <c r="CR133" s="602"/>
      <c r="CS133" s="602"/>
      <c r="CT133" s="602"/>
      <c r="CU133" s="602"/>
      <c r="CV133" s="602"/>
      <c r="CW133" s="602"/>
      <c r="CX133" s="602"/>
      <c r="CY133" s="602"/>
      <c r="CZ133" s="602"/>
      <c r="DA133" s="602"/>
    </row>
    <row r="134" spans="1:109" s="317" customFormat="1" ht="15" customHeight="1" x14ac:dyDescent="0.25">
      <c r="A134" s="595" t="s">
        <v>713</v>
      </c>
      <c r="B134" s="595"/>
      <c r="C134" s="595"/>
      <c r="D134" s="595"/>
      <c r="E134" s="595"/>
      <c r="F134" s="595"/>
      <c r="G134" s="595"/>
      <c r="H134" s="596" t="s">
        <v>714</v>
      </c>
      <c r="I134" s="596"/>
      <c r="J134" s="596"/>
      <c r="K134" s="596"/>
      <c r="L134" s="596"/>
      <c r="M134" s="596"/>
      <c r="N134" s="596"/>
      <c r="O134" s="596"/>
      <c r="P134" s="596"/>
      <c r="Q134" s="596"/>
      <c r="R134" s="596"/>
      <c r="S134" s="596"/>
      <c r="T134" s="596"/>
      <c r="U134" s="596"/>
      <c r="V134" s="596"/>
      <c r="W134" s="596"/>
      <c r="X134" s="596"/>
      <c r="Y134" s="596"/>
      <c r="Z134" s="596"/>
      <c r="AA134" s="596"/>
      <c r="AB134" s="596"/>
      <c r="AC134" s="596"/>
      <c r="AD134" s="596"/>
      <c r="AE134" s="596"/>
      <c r="AF134" s="596"/>
      <c r="AG134" s="596"/>
      <c r="AH134" s="596"/>
      <c r="AI134" s="596"/>
      <c r="AJ134" s="596"/>
      <c r="AK134" s="596"/>
      <c r="AL134" s="596"/>
      <c r="AM134" s="596"/>
      <c r="AN134" s="596"/>
      <c r="AO134" s="596"/>
      <c r="AP134" s="597"/>
      <c r="AQ134" s="597"/>
      <c r="AR134" s="597"/>
      <c r="AS134" s="597"/>
      <c r="AT134" s="597"/>
      <c r="AU134" s="597"/>
      <c r="AV134" s="597"/>
      <c r="AW134" s="597"/>
      <c r="AX134" s="597"/>
      <c r="AY134" s="597"/>
      <c r="AZ134" s="597"/>
      <c r="BA134" s="597"/>
      <c r="BB134" s="597"/>
      <c r="BC134" s="597"/>
      <c r="BD134" s="597"/>
      <c r="BE134" s="597"/>
      <c r="BF134" s="601"/>
      <c r="BG134" s="601"/>
      <c r="BH134" s="601"/>
      <c r="BI134" s="601"/>
      <c r="BJ134" s="601"/>
      <c r="BK134" s="601"/>
      <c r="BL134" s="601"/>
      <c r="BM134" s="601"/>
      <c r="BN134" s="601"/>
      <c r="BO134" s="601"/>
      <c r="BP134" s="601"/>
      <c r="BQ134" s="601"/>
      <c r="BR134" s="601"/>
      <c r="BS134" s="601"/>
      <c r="BT134" s="601"/>
      <c r="BU134" s="601"/>
      <c r="BV134" s="597"/>
      <c r="BW134" s="597"/>
      <c r="BX134" s="597"/>
      <c r="BY134" s="597"/>
      <c r="BZ134" s="597"/>
      <c r="CA134" s="597"/>
      <c r="CB134" s="597"/>
      <c r="CC134" s="597"/>
      <c r="CD134" s="597"/>
      <c r="CE134" s="597"/>
      <c r="CF134" s="597"/>
      <c r="CG134" s="597"/>
      <c r="CH134" s="597"/>
      <c r="CI134" s="597"/>
      <c r="CJ134" s="597"/>
      <c r="CK134" s="597"/>
      <c r="CL134" s="603">
        <f>3548935.4+146806.54</f>
        <v>3695741.94</v>
      </c>
      <c r="CM134" s="604"/>
      <c r="CN134" s="604"/>
      <c r="CO134" s="604"/>
      <c r="CP134" s="604"/>
      <c r="CQ134" s="604"/>
      <c r="CR134" s="604"/>
      <c r="CS134" s="604"/>
      <c r="CT134" s="604"/>
      <c r="CU134" s="604"/>
      <c r="CV134" s="604"/>
      <c r="CW134" s="604"/>
      <c r="CX134" s="604"/>
      <c r="CY134" s="604"/>
      <c r="CZ134" s="604"/>
      <c r="DA134" s="605"/>
      <c r="DE134" s="324"/>
    </row>
    <row r="135" spans="1:109" s="317" customFormat="1" ht="15" customHeight="1" x14ac:dyDescent="0.25">
      <c r="A135" s="595" t="s">
        <v>715</v>
      </c>
      <c r="B135" s="595"/>
      <c r="C135" s="595"/>
      <c r="D135" s="595"/>
      <c r="E135" s="595"/>
      <c r="F135" s="595"/>
      <c r="G135" s="595"/>
      <c r="H135" s="596" t="s">
        <v>716</v>
      </c>
      <c r="I135" s="596"/>
      <c r="J135" s="596"/>
      <c r="K135" s="596"/>
      <c r="L135" s="596"/>
      <c r="M135" s="596"/>
      <c r="N135" s="596"/>
      <c r="O135" s="596"/>
      <c r="P135" s="596"/>
      <c r="Q135" s="596"/>
      <c r="R135" s="596"/>
      <c r="S135" s="596"/>
      <c r="T135" s="596"/>
      <c r="U135" s="596"/>
      <c r="V135" s="596"/>
      <c r="W135" s="596"/>
      <c r="X135" s="596"/>
      <c r="Y135" s="596"/>
      <c r="Z135" s="596"/>
      <c r="AA135" s="596"/>
      <c r="AB135" s="596"/>
      <c r="AC135" s="596"/>
      <c r="AD135" s="596"/>
      <c r="AE135" s="596"/>
      <c r="AF135" s="596"/>
      <c r="AG135" s="596"/>
      <c r="AH135" s="596"/>
      <c r="AI135" s="596"/>
      <c r="AJ135" s="596"/>
      <c r="AK135" s="596"/>
      <c r="AL135" s="596"/>
      <c r="AM135" s="596"/>
      <c r="AN135" s="596"/>
      <c r="AO135" s="596"/>
      <c r="AP135" s="597"/>
      <c r="AQ135" s="597"/>
      <c r="AR135" s="597"/>
      <c r="AS135" s="597"/>
      <c r="AT135" s="597"/>
      <c r="AU135" s="597"/>
      <c r="AV135" s="597"/>
      <c r="AW135" s="597"/>
      <c r="AX135" s="597"/>
      <c r="AY135" s="597"/>
      <c r="AZ135" s="597"/>
      <c r="BA135" s="597"/>
      <c r="BB135" s="597"/>
      <c r="BC135" s="597"/>
      <c r="BD135" s="597"/>
      <c r="BE135" s="597"/>
      <c r="BF135" s="601"/>
      <c r="BG135" s="601"/>
      <c r="BH135" s="601"/>
      <c r="BI135" s="601"/>
      <c r="BJ135" s="601"/>
      <c r="BK135" s="601"/>
      <c r="BL135" s="601"/>
      <c r="BM135" s="601"/>
      <c r="BN135" s="601"/>
      <c r="BO135" s="601"/>
      <c r="BP135" s="601"/>
      <c r="BQ135" s="601"/>
      <c r="BR135" s="601"/>
      <c r="BS135" s="601"/>
      <c r="BT135" s="601"/>
      <c r="BU135" s="601"/>
      <c r="BV135" s="597"/>
      <c r="BW135" s="597"/>
      <c r="BX135" s="597"/>
      <c r="BY135" s="597"/>
      <c r="BZ135" s="597"/>
      <c r="CA135" s="597"/>
      <c r="CB135" s="597"/>
      <c r="CC135" s="597"/>
      <c r="CD135" s="597"/>
      <c r="CE135" s="597"/>
      <c r="CF135" s="597"/>
      <c r="CG135" s="597"/>
      <c r="CH135" s="597"/>
      <c r="CI135" s="597"/>
      <c r="CJ135" s="597"/>
      <c r="CK135" s="597"/>
      <c r="CL135" s="603">
        <v>999797.94</v>
      </c>
      <c r="CM135" s="604"/>
      <c r="CN135" s="604"/>
      <c r="CO135" s="604"/>
      <c r="CP135" s="604"/>
      <c r="CQ135" s="604"/>
      <c r="CR135" s="604"/>
      <c r="CS135" s="604"/>
      <c r="CT135" s="604"/>
      <c r="CU135" s="604"/>
      <c r="CV135" s="604"/>
      <c r="CW135" s="604"/>
      <c r="CX135" s="604"/>
      <c r="CY135" s="604"/>
      <c r="CZ135" s="604"/>
      <c r="DA135" s="605"/>
    </row>
    <row r="136" spans="1:109" s="317" customFormat="1" ht="15" customHeight="1" x14ac:dyDescent="0.25">
      <c r="A136" s="595" t="s">
        <v>717</v>
      </c>
      <c r="B136" s="595"/>
      <c r="C136" s="595"/>
      <c r="D136" s="595"/>
      <c r="E136" s="595"/>
      <c r="F136" s="595"/>
      <c r="G136" s="595"/>
      <c r="H136" s="596" t="s">
        <v>718</v>
      </c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  <c r="AA136" s="596"/>
      <c r="AB136" s="596"/>
      <c r="AC136" s="596"/>
      <c r="AD136" s="596"/>
      <c r="AE136" s="596"/>
      <c r="AF136" s="596"/>
      <c r="AG136" s="596"/>
      <c r="AH136" s="596"/>
      <c r="AI136" s="596"/>
      <c r="AJ136" s="596"/>
      <c r="AK136" s="596"/>
      <c r="AL136" s="596"/>
      <c r="AM136" s="596"/>
      <c r="AN136" s="596"/>
      <c r="AO136" s="596"/>
      <c r="AP136" s="597"/>
      <c r="AQ136" s="597"/>
      <c r="AR136" s="597"/>
      <c r="AS136" s="597"/>
      <c r="AT136" s="597"/>
      <c r="AU136" s="597"/>
      <c r="AV136" s="597"/>
      <c r="AW136" s="597"/>
      <c r="AX136" s="597"/>
      <c r="AY136" s="597"/>
      <c r="AZ136" s="597"/>
      <c r="BA136" s="597"/>
      <c r="BB136" s="597"/>
      <c r="BC136" s="597"/>
      <c r="BD136" s="597"/>
      <c r="BE136" s="597"/>
      <c r="BF136" s="601"/>
      <c r="BG136" s="601"/>
      <c r="BH136" s="601"/>
      <c r="BI136" s="601"/>
      <c r="BJ136" s="601"/>
      <c r="BK136" s="601"/>
      <c r="BL136" s="601"/>
      <c r="BM136" s="601"/>
      <c r="BN136" s="601"/>
      <c r="BO136" s="601"/>
      <c r="BP136" s="601"/>
      <c r="BQ136" s="601"/>
      <c r="BR136" s="601"/>
      <c r="BS136" s="601"/>
      <c r="BT136" s="601"/>
      <c r="BU136" s="601"/>
      <c r="BV136" s="597"/>
      <c r="BW136" s="597"/>
      <c r="BX136" s="597"/>
      <c r="BY136" s="597"/>
      <c r="BZ136" s="597"/>
      <c r="CA136" s="597"/>
      <c r="CB136" s="597"/>
      <c r="CC136" s="597"/>
      <c r="CD136" s="597"/>
      <c r="CE136" s="597"/>
      <c r="CF136" s="597"/>
      <c r="CG136" s="597"/>
      <c r="CH136" s="597"/>
      <c r="CI136" s="597"/>
      <c r="CJ136" s="597"/>
      <c r="CK136" s="597"/>
      <c r="CL136" s="603">
        <v>573574.57999999996</v>
      </c>
      <c r="CM136" s="604"/>
      <c r="CN136" s="604"/>
      <c r="CO136" s="604"/>
      <c r="CP136" s="604"/>
      <c r="CQ136" s="604"/>
      <c r="CR136" s="604"/>
      <c r="CS136" s="604"/>
      <c r="CT136" s="604"/>
      <c r="CU136" s="604"/>
      <c r="CV136" s="604"/>
      <c r="CW136" s="604"/>
      <c r="CX136" s="604"/>
      <c r="CY136" s="604"/>
      <c r="CZ136" s="604"/>
      <c r="DA136" s="605"/>
    </row>
    <row r="137" spans="1:109" s="317" customFormat="1" ht="15" customHeight="1" x14ac:dyDescent="0.25">
      <c r="A137" s="595" t="s">
        <v>924</v>
      </c>
      <c r="B137" s="595"/>
      <c r="C137" s="595"/>
      <c r="D137" s="595"/>
      <c r="E137" s="595"/>
      <c r="F137" s="595"/>
      <c r="G137" s="595"/>
      <c r="H137" s="596" t="s">
        <v>925</v>
      </c>
      <c r="I137" s="596"/>
      <c r="J137" s="596"/>
      <c r="K137" s="596"/>
      <c r="L137" s="596"/>
      <c r="M137" s="596"/>
      <c r="N137" s="596"/>
      <c r="O137" s="596"/>
      <c r="P137" s="596"/>
      <c r="Q137" s="596"/>
      <c r="R137" s="596"/>
      <c r="S137" s="596"/>
      <c r="T137" s="596"/>
      <c r="U137" s="596"/>
      <c r="V137" s="596"/>
      <c r="W137" s="596"/>
      <c r="X137" s="596"/>
      <c r="Y137" s="596"/>
      <c r="Z137" s="596"/>
      <c r="AA137" s="596"/>
      <c r="AB137" s="596"/>
      <c r="AC137" s="596"/>
      <c r="AD137" s="596"/>
      <c r="AE137" s="596"/>
      <c r="AF137" s="596"/>
      <c r="AG137" s="596"/>
      <c r="AH137" s="596"/>
      <c r="AI137" s="596"/>
      <c r="AJ137" s="596"/>
      <c r="AK137" s="596"/>
      <c r="AL137" s="596"/>
      <c r="AM137" s="596"/>
      <c r="AN137" s="596"/>
      <c r="AO137" s="596"/>
      <c r="AP137" s="597"/>
      <c r="AQ137" s="597"/>
      <c r="AR137" s="597"/>
      <c r="AS137" s="597"/>
      <c r="AT137" s="597"/>
      <c r="AU137" s="597"/>
      <c r="AV137" s="597"/>
      <c r="AW137" s="597"/>
      <c r="AX137" s="597"/>
      <c r="AY137" s="597"/>
      <c r="AZ137" s="597"/>
      <c r="BA137" s="597"/>
      <c r="BB137" s="597"/>
      <c r="BC137" s="597"/>
      <c r="BD137" s="597"/>
      <c r="BE137" s="597"/>
      <c r="BF137" s="601"/>
      <c r="BG137" s="601"/>
      <c r="BH137" s="601"/>
      <c r="BI137" s="601"/>
      <c r="BJ137" s="601"/>
      <c r="BK137" s="601"/>
      <c r="BL137" s="601"/>
      <c r="BM137" s="601"/>
      <c r="BN137" s="601"/>
      <c r="BO137" s="601"/>
      <c r="BP137" s="601"/>
      <c r="BQ137" s="601"/>
      <c r="BR137" s="601"/>
      <c r="BS137" s="601"/>
      <c r="BT137" s="601"/>
      <c r="BU137" s="601"/>
      <c r="BV137" s="597"/>
      <c r="BW137" s="597"/>
      <c r="BX137" s="597"/>
      <c r="BY137" s="597"/>
      <c r="BZ137" s="597"/>
      <c r="CA137" s="597"/>
      <c r="CB137" s="597"/>
      <c r="CC137" s="597"/>
      <c r="CD137" s="597"/>
      <c r="CE137" s="597"/>
      <c r="CF137" s="597"/>
      <c r="CG137" s="597"/>
      <c r="CH137" s="597"/>
      <c r="CI137" s="597"/>
      <c r="CJ137" s="597"/>
      <c r="CK137" s="597"/>
      <c r="CL137" s="603">
        <v>447285.54</v>
      </c>
      <c r="CM137" s="604"/>
      <c r="CN137" s="604"/>
      <c r="CO137" s="604"/>
      <c r="CP137" s="604"/>
      <c r="CQ137" s="604"/>
      <c r="CR137" s="604"/>
      <c r="CS137" s="604"/>
      <c r="CT137" s="604"/>
      <c r="CU137" s="604"/>
      <c r="CV137" s="604"/>
      <c r="CW137" s="604"/>
      <c r="CX137" s="604"/>
      <c r="CY137" s="604"/>
      <c r="CZ137" s="604"/>
      <c r="DA137" s="605"/>
    </row>
    <row r="138" spans="1:109" s="317" customFormat="1" ht="15" customHeight="1" x14ac:dyDescent="0.25">
      <c r="A138" s="595"/>
      <c r="B138" s="595"/>
      <c r="C138" s="595"/>
      <c r="D138" s="595"/>
      <c r="E138" s="595"/>
      <c r="F138" s="595"/>
      <c r="G138" s="595"/>
      <c r="H138" s="643" t="s">
        <v>610</v>
      </c>
      <c r="I138" s="606"/>
      <c r="J138" s="606"/>
      <c r="K138" s="606"/>
      <c r="L138" s="606"/>
      <c r="M138" s="606"/>
      <c r="N138" s="606"/>
      <c r="O138" s="606"/>
      <c r="P138" s="606"/>
      <c r="Q138" s="606"/>
      <c r="R138" s="606"/>
      <c r="S138" s="606"/>
      <c r="T138" s="606"/>
      <c r="U138" s="606"/>
      <c r="V138" s="606"/>
      <c r="W138" s="606"/>
      <c r="X138" s="606"/>
      <c r="Y138" s="606"/>
      <c r="Z138" s="606"/>
      <c r="AA138" s="606"/>
      <c r="AB138" s="606"/>
      <c r="AC138" s="606"/>
      <c r="AD138" s="606"/>
      <c r="AE138" s="606"/>
      <c r="AF138" s="606"/>
      <c r="AG138" s="606"/>
      <c r="AH138" s="606"/>
      <c r="AI138" s="606"/>
      <c r="AJ138" s="606"/>
      <c r="AK138" s="606"/>
      <c r="AL138" s="606"/>
      <c r="AM138" s="606"/>
      <c r="AN138" s="606"/>
      <c r="AO138" s="607"/>
      <c r="AP138" s="597" t="s">
        <v>487</v>
      </c>
      <c r="AQ138" s="597"/>
      <c r="AR138" s="597"/>
      <c r="AS138" s="597"/>
      <c r="AT138" s="597"/>
      <c r="AU138" s="597"/>
      <c r="AV138" s="597"/>
      <c r="AW138" s="597"/>
      <c r="AX138" s="597"/>
      <c r="AY138" s="597"/>
      <c r="AZ138" s="597"/>
      <c r="BA138" s="597"/>
      <c r="BB138" s="597"/>
      <c r="BC138" s="597"/>
      <c r="BD138" s="597"/>
      <c r="BE138" s="597"/>
      <c r="BF138" s="597" t="s">
        <v>487</v>
      </c>
      <c r="BG138" s="597"/>
      <c r="BH138" s="597"/>
      <c r="BI138" s="597"/>
      <c r="BJ138" s="597"/>
      <c r="BK138" s="597"/>
      <c r="BL138" s="597"/>
      <c r="BM138" s="597"/>
      <c r="BN138" s="597"/>
      <c r="BO138" s="597"/>
      <c r="BP138" s="597"/>
      <c r="BQ138" s="597"/>
      <c r="BR138" s="597"/>
      <c r="BS138" s="597"/>
      <c r="BT138" s="597"/>
      <c r="BU138" s="597"/>
      <c r="BV138" s="597" t="s">
        <v>487</v>
      </c>
      <c r="BW138" s="597"/>
      <c r="BX138" s="597"/>
      <c r="BY138" s="597"/>
      <c r="BZ138" s="597"/>
      <c r="CA138" s="597"/>
      <c r="CB138" s="597"/>
      <c r="CC138" s="597"/>
      <c r="CD138" s="597"/>
      <c r="CE138" s="597"/>
      <c r="CF138" s="597"/>
      <c r="CG138" s="597"/>
      <c r="CH138" s="597"/>
      <c r="CI138" s="597"/>
      <c r="CJ138" s="597"/>
      <c r="CK138" s="597"/>
      <c r="CL138" s="608">
        <f>CL134+CL135+CL136+CL137</f>
        <v>5716400</v>
      </c>
      <c r="CM138" s="608"/>
      <c r="CN138" s="608"/>
      <c r="CO138" s="608"/>
      <c r="CP138" s="608"/>
      <c r="CQ138" s="608"/>
      <c r="CR138" s="608"/>
      <c r="CS138" s="608"/>
      <c r="CT138" s="608"/>
      <c r="CU138" s="608"/>
      <c r="CV138" s="608"/>
      <c r="CW138" s="608"/>
      <c r="CX138" s="608"/>
      <c r="CY138" s="608"/>
      <c r="CZ138" s="608"/>
      <c r="DA138" s="608"/>
      <c r="DE138" s="317">
        <v>223</v>
      </c>
    </row>
    <row r="140" spans="1:109" s="315" customFormat="1" ht="39" customHeight="1" x14ac:dyDescent="0.2">
      <c r="A140" s="591" t="s">
        <v>927</v>
      </c>
      <c r="B140" s="591"/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591"/>
      <c r="AQ140" s="591"/>
      <c r="AR140" s="591"/>
      <c r="AS140" s="591"/>
      <c r="AT140" s="591"/>
      <c r="AU140" s="591"/>
      <c r="AV140" s="591"/>
      <c r="AW140" s="591"/>
      <c r="AX140" s="591"/>
      <c r="AY140" s="591"/>
      <c r="AZ140" s="591"/>
      <c r="BA140" s="591"/>
      <c r="BB140" s="591"/>
      <c r="BC140" s="591"/>
      <c r="BD140" s="591"/>
      <c r="BE140" s="591"/>
      <c r="BF140" s="591"/>
      <c r="BG140" s="591"/>
      <c r="BH140" s="591"/>
      <c r="BI140" s="591"/>
      <c r="BJ140" s="591"/>
      <c r="BK140" s="591"/>
      <c r="BL140" s="591"/>
      <c r="BM140" s="591"/>
      <c r="BN140" s="591"/>
      <c r="BO140" s="591"/>
      <c r="BP140" s="591"/>
      <c r="BQ140" s="591"/>
      <c r="BR140" s="591"/>
      <c r="BS140" s="591"/>
      <c r="BT140" s="591"/>
      <c r="BU140" s="591"/>
      <c r="BV140" s="591"/>
      <c r="BW140" s="591"/>
      <c r="BX140" s="591"/>
      <c r="BY140" s="591"/>
      <c r="BZ140" s="591"/>
      <c r="CA140" s="591"/>
      <c r="CB140" s="591"/>
      <c r="CC140" s="591"/>
      <c r="CD140" s="591"/>
      <c r="CE140" s="591"/>
      <c r="CF140" s="591"/>
      <c r="CG140" s="591"/>
      <c r="CH140" s="591"/>
      <c r="CI140" s="591"/>
      <c r="CJ140" s="591"/>
      <c r="CK140" s="591"/>
      <c r="CL140" s="591"/>
      <c r="CM140" s="591"/>
      <c r="CN140" s="591"/>
      <c r="CO140" s="591"/>
      <c r="CP140" s="591"/>
      <c r="CQ140" s="591"/>
      <c r="CR140" s="591"/>
      <c r="CS140" s="591"/>
      <c r="CT140" s="591"/>
      <c r="CU140" s="591"/>
      <c r="CV140" s="591"/>
      <c r="CW140" s="591"/>
      <c r="CX140" s="591"/>
      <c r="CY140" s="591"/>
      <c r="CZ140" s="591"/>
      <c r="DA140" s="591"/>
      <c r="DE140" s="180" t="s">
        <v>929</v>
      </c>
    </row>
    <row r="141" spans="1:109" ht="10.5" customHeight="1" x14ac:dyDescent="0.25"/>
    <row r="142" spans="1:109" s="318" customFormat="1" ht="45" customHeight="1" x14ac:dyDescent="0.25">
      <c r="A142" s="647" t="s">
        <v>146</v>
      </c>
      <c r="B142" s="648"/>
      <c r="C142" s="648"/>
      <c r="D142" s="648"/>
      <c r="E142" s="648"/>
      <c r="F142" s="648"/>
      <c r="G142" s="649"/>
      <c r="H142" s="647" t="s">
        <v>252</v>
      </c>
      <c r="I142" s="648"/>
      <c r="J142" s="648"/>
      <c r="K142" s="648"/>
      <c r="L142" s="648"/>
      <c r="M142" s="648"/>
      <c r="N142" s="648"/>
      <c r="O142" s="648"/>
      <c r="P142" s="648"/>
      <c r="Q142" s="648"/>
      <c r="R142" s="648"/>
      <c r="S142" s="648"/>
      <c r="T142" s="648"/>
      <c r="U142" s="648"/>
      <c r="V142" s="648"/>
      <c r="W142" s="648"/>
      <c r="X142" s="648"/>
      <c r="Y142" s="648"/>
      <c r="Z142" s="648"/>
      <c r="AA142" s="648"/>
      <c r="AB142" s="648"/>
      <c r="AC142" s="648"/>
      <c r="AD142" s="648"/>
      <c r="AE142" s="648"/>
      <c r="AF142" s="648"/>
      <c r="AG142" s="648"/>
      <c r="AH142" s="648"/>
      <c r="AI142" s="648"/>
      <c r="AJ142" s="648"/>
      <c r="AK142" s="648"/>
      <c r="AL142" s="648"/>
      <c r="AM142" s="648"/>
      <c r="AN142" s="648"/>
      <c r="AO142" s="649"/>
      <c r="AP142" s="647" t="s">
        <v>709</v>
      </c>
      <c r="AQ142" s="648"/>
      <c r="AR142" s="648"/>
      <c r="AS142" s="648"/>
      <c r="AT142" s="648"/>
      <c r="AU142" s="648"/>
      <c r="AV142" s="648"/>
      <c r="AW142" s="648"/>
      <c r="AX142" s="648"/>
      <c r="AY142" s="648"/>
      <c r="AZ142" s="648"/>
      <c r="BA142" s="648"/>
      <c r="BB142" s="648"/>
      <c r="BC142" s="648"/>
      <c r="BD142" s="648"/>
      <c r="BE142" s="649"/>
      <c r="BF142" s="647" t="s">
        <v>710</v>
      </c>
      <c r="BG142" s="648"/>
      <c r="BH142" s="648"/>
      <c r="BI142" s="648"/>
      <c r="BJ142" s="648"/>
      <c r="BK142" s="648"/>
      <c r="BL142" s="648"/>
      <c r="BM142" s="648"/>
      <c r="BN142" s="648"/>
      <c r="BO142" s="648"/>
      <c r="BP142" s="648"/>
      <c r="BQ142" s="648"/>
      <c r="BR142" s="648"/>
      <c r="BS142" s="648"/>
      <c r="BT142" s="648"/>
      <c r="BU142" s="649"/>
      <c r="BV142" s="647" t="s">
        <v>711</v>
      </c>
      <c r="BW142" s="648"/>
      <c r="BX142" s="648"/>
      <c r="BY142" s="648"/>
      <c r="BZ142" s="648"/>
      <c r="CA142" s="648"/>
      <c r="CB142" s="648"/>
      <c r="CC142" s="648"/>
      <c r="CD142" s="648"/>
      <c r="CE142" s="648"/>
      <c r="CF142" s="648"/>
      <c r="CG142" s="648"/>
      <c r="CH142" s="648"/>
      <c r="CI142" s="648"/>
      <c r="CJ142" s="648"/>
      <c r="CK142" s="649"/>
      <c r="CL142" s="647" t="s">
        <v>712</v>
      </c>
      <c r="CM142" s="648"/>
      <c r="CN142" s="648"/>
      <c r="CO142" s="648"/>
      <c r="CP142" s="648"/>
      <c r="CQ142" s="648"/>
      <c r="CR142" s="648"/>
      <c r="CS142" s="648"/>
      <c r="CT142" s="648"/>
      <c r="CU142" s="648"/>
      <c r="CV142" s="648"/>
      <c r="CW142" s="648"/>
      <c r="CX142" s="648"/>
      <c r="CY142" s="648"/>
      <c r="CZ142" s="648"/>
      <c r="DA142" s="649"/>
    </row>
    <row r="143" spans="1:109" s="209" customFormat="1" ht="12.75" x14ac:dyDescent="0.25">
      <c r="A143" s="602">
        <v>1</v>
      </c>
      <c r="B143" s="602"/>
      <c r="C143" s="602"/>
      <c r="D143" s="602"/>
      <c r="E143" s="602"/>
      <c r="F143" s="602"/>
      <c r="G143" s="602"/>
      <c r="H143" s="602">
        <v>2</v>
      </c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2"/>
      <c r="AK143" s="602"/>
      <c r="AL143" s="602"/>
      <c r="AM143" s="602"/>
      <c r="AN143" s="602"/>
      <c r="AO143" s="602"/>
      <c r="AP143" s="602">
        <v>4</v>
      </c>
      <c r="AQ143" s="602"/>
      <c r="AR143" s="602"/>
      <c r="AS143" s="602"/>
      <c r="AT143" s="602"/>
      <c r="AU143" s="602"/>
      <c r="AV143" s="602"/>
      <c r="AW143" s="602"/>
      <c r="AX143" s="602"/>
      <c r="AY143" s="602"/>
      <c r="AZ143" s="602"/>
      <c r="BA143" s="602"/>
      <c r="BB143" s="602"/>
      <c r="BC143" s="602"/>
      <c r="BD143" s="602"/>
      <c r="BE143" s="602"/>
      <c r="BF143" s="602">
        <v>5</v>
      </c>
      <c r="BG143" s="602"/>
      <c r="BH143" s="602"/>
      <c r="BI143" s="602"/>
      <c r="BJ143" s="602"/>
      <c r="BK143" s="602"/>
      <c r="BL143" s="602"/>
      <c r="BM143" s="602"/>
      <c r="BN143" s="602"/>
      <c r="BO143" s="602"/>
      <c r="BP143" s="602"/>
      <c r="BQ143" s="602"/>
      <c r="BR143" s="602"/>
      <c r="BS143" s="602"/>
      <c r="BT143" s="602"/>
      <c r="BU143" s="602"/>
      <c r="BV143" s="602">
        <v>6</v>
      </c>
      <c r="BW143" s="602"/>
      <c r="BX143" s="602"/>
      <c r="BY143" s="602"/>
      <c r="BZ143" s="602"/>
      <c r="CA143" s="602"/>
      <c r="CB143" s="602"/>
      <c r="CC143" s="602"/>
      <c r="CD143" s="602"/>
      <c r="CE143" s="602"/>
      <c r="CF143" s="602"/>
      <c r="CG143" s="602"/>
      <c r="CH143" s="602"/>
      <c r="CI143" s="602"/>
      <c r="CJ143" s="602"/>
      <c r="CK143" s="602"/>
      <c r="CL143" s="803">
        <v>7</v>
      </c>
      <c r="CM143" s="803"/>
      <c r="CN143" s="803"/>
      <c r="CO143" s="803"/>
      <c r="CP143" s="803"/>
      <c r="CQ143" s="803"/>
      <c r="CR143" s="803"/>
      <c r="CS143" s="803"/>
      <c r="CT143" s="803"/>
      <c r="CU143" s="803"/>
      <c r="CV143" s="803"/>
      <c r="CW143" s="803"/>
      <c r="CX143" s="803"/>
      <c r="CY143" s="803"/>
      <c r="CZ143" s="803"/>
      <c r="DA143" s="803"/>
      <c r="DE143" s="316">
        <v>226</v>
      </c>
    </row>
    <row r="144" spans="1:109" s="317" customFormat="1" ht="15" customHeight="1" x14ac:dyDescent="0.25">
      <c r="A144" s="595" t="s">
        <v>719</v>
      </c>
      <c r="B144" s="595"/>
      <c r="C144" s="595"/>
      <c r="D144" s="595"/>
      <c r="E144" s="595"/>
      <c r="F144" s="595"/>
      <c r="G144" s="595"/>
      <c r="H144" s="596" t="s">
        <v>928</v>
      </c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596"/>
      <c r="Y144" s="596"/>
      <c r="Z144" s="596"/>
      <c r="AA144" s="596"/>
      <c r="AB144" s="596"/>
      <c r="AC144" s="596"/>
      <c r="AD144" s="596"/>
      <c r="AE144" s="596"/>
      <c r="AF144" s="596"/>
      <c r="AG144" s="596"/>
      <c r="AH144" s="596"/>
      <c r="AI144" s="596"/>
      <c r="AJ144" s="596"/>
      <c r="AK144" s="596"/>
      <c r="AL144" s="596"/>
      <c r="AM144" s="596"/>
      <c r="AN144" s="596"/>
      <c r="AO144" s="596"/>
      <c r="AP144" s="597"/>
      <c r="AQ144" s="597"/>
      <c r="AR144" s="597"/>
      <c r="AS144" s="597"/>
      <c r="AT144" s="597"/>
      <c r="AU144" s="597"/>
      <c r="AV144" s="597"/>
      <c r="AW144" s="597"/>
      <c r="AX144" s="597"/>
      <c r="AY144" s="597"/>
      <c r="AZ144" s="597"/>
      <c r="BA144" s="597"/>
      <c r="BB144" s="597"/>
      <c r="BC144" s="597"/>
      <c r="BD144" s="597"/>
      <c r="BE144" s="597"/>
      <c r="BF144" s="601"/>
      <c r="BG144" s="601"/>
      <c r="BH144" s="601"/>
      <c r="BI144" s="601"/>
      <c r="BJ144" s="601"/>
      <c r="BK144" s="601"/>
      <c r="BL144" s="601"/>
      <c r="BM144" s="601"/>
      <c r="BN144" s="601"/>
      <c r="BO144" s="601"/>
      <c r="BP144" s="601"/>
      <c r="BQ144" s="601"/>
      <c r="BR144" s="601"/>
      <c r="BS144" s="601"/>
      <c r="BT144" s="601"/>
      <c r="BU144" s="601"/>
      <c r="BV144" s="597"/>
      <c r="BW144" s="597"/>
      <c r="BX144" s="597"/>
      <c r="BY144" s="597"/>
      <c r="BZ144" s="597"/>
      <c r="CA144" s="597"/>
      <c r="CB144" s="597"/>
      <c r="CC144" s="597"/>
      <c r="CD144" s="597"/>
      <c r="CE144" s="597"/>
      <c r="CF144" s="597"/>
      <c r="CG144" s="597"/>
      <c r="CH144" s="597"/>
      <c r="CI144" s="597"/>
      <c r="CJ144" s="597"/>
      <c r="CK144" s="597"/>
      <c r="CL144" s="601">
        <v>2445500</v>
      </c>
      <c r="CM144" s="601"/>
      <c r="CN144" s="601"/>
      <c r="CO144" s="601"/>
      <c r="CP144" s="601"/>
      <c r="CQ144" s="601"/>
      <c r="CR144" s="601"/>
      <c r="CS144" s="601"/>
      <c r="CT144" s="601"/>
      <c r="CU144" s="601"/>
      <c r="CV144" s="601"/>
      <c r="CW144" s="601"/>
      <c r="CX144" s="601"/>
      <c r="CY144" s="601"/>
      <c r="CZ144" s="601"/>
      <c r="DA144" s="601"/>
    </row>
    <row r="145" spans="1:109" s="317" customFormat="1" ht="15" customHeight="1" x14ac:dyDescent="0.25">
      <c r="A145" s="595"/>
      <c r="B145" s="595"/>
      <c r="C145" s="595"/>
      <c r="D145" s="595"/>
      <c r="E145" s="595"/>
      <c r="F145" s="595"/>
      <c r="G145" s="595"/>
      <c r="H145" s="596"/>
      <c r="I145" s="596"/>
      <c r="J145" s="596"/>
      <c r="K145" s="596"/>
      <c r="L145" s="596"/>
      <c r="M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  <c r="X145" s="596"/>
      <c r="Y145" s="596"/>
      <c r="Z145" s="596"/>
      <c r="AA145" s="596"/>
      <c r="AB145" s="596"/>
      <c r="AC145" s="596"/>
      <c r="AD145" s="596"/>
      <c r="AE145" s="596"/>
      <c r="AF145" s="596"/>
      <c r="AG145" s="596"/>
      <c r="AH145" s="596"/>
      <c r="AI145" s="596"/>
      <c r="AJ145" s="596"/>
      <c r="AK145" s="596"/>
      <c r="AL145" s="596"/>
      <c r="AM145" s="596"/>
      <c r="AN145" s="596"/>
      <c r="AO145" s="596"/>
      <c r="AP145" s="597"/>
      <c r="AQ145" s="597"/>
      <c r="AR145" s="597"/>
      <c r="AS145" s="597"/>
      <c r="AT145" s="597"/>
      <c r="AU145" s="597"/>
      <c r="AV145" s="597"/>
      <c r="AW145" s="597"/>
      <c r="AX145" s="597"/>
      <c r="AY145" s="597"/>
      <c r="AZ145" s="597"/>
      <c r="BA145" s="597"/>
      <c r="BB145" s="597"/>
      <c r="BC145" s="597"/>
      <c r="BD145" s="597"/>
      <c r="BE145" s="597"/>
      <c r="BF145" s="601"/>
      <c r="BG145" s="601"/>
      <c r="BH145" s="601"/>
      <c r="BI145" s="601"/>
      <c r="BJ145" s="601"/>
      <c r="BK145" s="601"/>
      <c r="BL145" s="601"/>
      <c r="BM145" s="601"/>
      <c r="BN145" s="601"/>
      <c r="BO145" s="601"/>
      <c r="BP145" s="601"/>
      <c r="BQ145" s="601"/>
      <c r="BR145" s="601"/>
      <c r="BS145" s="601"/>
      <c r="BT145" s="601"/>
      <c r="BU145" s="601"/>
      <c r="BV145" s="597"/>
      <c r="BW145" s="597"/>
      <c r="BX145" s="597"/>
      <c r="BY145" s="597"/>
      <c r="BZ145" s="597"/>
      <c r="CA145" s="597"/>
      <c r="CB145" s="597"/>
      <c r="CC145" s="597"/>
      <c r="CD145" s="597"/>
      <c r="CE145" s="597"/>
      <c r="CF145" s="597"/>
      <c r="CG145" s="597"/>
      <c r="CH145" s="597"/>
      <c r="CI145" s="597"/>
      <c r="CJ145" s="597"/>
      <c r="CK145" s="597"/>
      <c r="CL145" s="601">
        <v>0</v>
      </c>
      <c r="CM145" s="601"/>
      <c r="CN145" s="601"/>
      <c r="CO145" s="601"/>
      <c r="CP145" s="601"/>
      <c r="CQ145" s="601"/>
      <c r="CR145" s="601"/>
      <c r="CS145" s="601"/>
      <c r="CT145" s="601"/>
      <c r="CU145" s="601"/>
      <c r="CV145" s="601"/>
      <c r="CW145" s="601"/>
      <c r="CX145" s="601"/>
      <c r="CY145" s="601"/>
      <c r="CZ145" s="601"/>
      <c r="DA145" s="601"/>
    </row>
    <row r="146" spans="1:109" s="317" customFormat="1" ht="15" customHeight="1" x14ac:dyDescent="0.25">
      <c r="A146" s="595"/>
      <c r="B146" s="595"/>
      <c r="C146" s="595"/>
      <c r="D146" s="595"/>
      <c r="E146" s="595"/>
      <c r="F146" s="595"/>
      <c r="G146" s="595"/>
      <c r="H146" s="643" t="s">
        <v>610</v>
      </c>
      <c r="I146" s="606"/>
      <c r="J146" s="606"/>
      <c r="K146" s="606"/>
      <c r="L146" s="606"/>
      <c r="M146" s="606"/>
      <c r="N146" s="606"/>
      <c r="O146" s="606"/>
      <c r="P146" s="606"/>
      <c r="Q146" s="606"/>
      <c r="R146" s="606"/>
      <c r="S146" s="606"/>
      <c r="T146" s="606"/>
      <c r="U146" s="606"/>
      <c r="V146" s="606"/>
      <c r="W146" s="606"/>
      <c r="X146" s="606"/>
      <c r="Y146" s="606"/>
      <c r="Z146" s="606"/>
      <c r="AA146" s="606"/>
      <c r="AB146" s="606"/>
      <c r="AC146" s="606"/>
      <c r="AD146" s="606"/>
      <c r="AE146" s="606"/>
      <c r="AF146" s="606"/>
      <c r="AG146" s="606"/>
      <c r="AH146" s="606"/>
      <c r="AI146" s="606"/>
      <c r="AJ146" s="606"/>
      <c r="AK146" s="606"/>
      <c r="AL146" s="606"/>
      <c r="AM146" s="606"/>
      <c r="AN146" s="606"/>
      <c r="AO146" s="607"/>
      <c r="AP146" s="597" t="s">
        <v>487</v>
      </c>
      <c r="AQ146" s="597"/>
      <c r="AR146" s="597"/>
      <c r="AS146" s="597"/>
      <c r="AT146" s="597"/>
      <c r="AU146" s="597"/>
      <c r="AV146" s="597"/>
      <c r="AW146" s="597"/>
      <c r="AX146" s="597"/>
      <c r="AY146" s="597"/>
      <c r="AZ146" s="597"/>
      <c r="BA146" s="597"/>
      <c r="BB146" s="597"/>
      <c r="BC146" s="597"/>
      <c r="BD146" s="597"/>
      <c r="BE146" s="597"/>
      <c r="BF146" s="597" t="s">
        <v>487</v>
      </c>
      <c r="BG146" s="597"/>
      <c r="BH146" s="597"/>
      <c r="BI146" s="597"/>
      <c r="BJ146" s="597"/>
      <c r="BK146" s="597"/>
      <c r="BL146" s="597"/>
      <c r="BM146" s="597"/>
      <c r="BN146" s="597"/>
      <c r="BO146" s="597"/>
      <c r="BP146" s="597"/>
      <c r="BQ146" s="597"/>
      <c r="BR146" s="597"/>
      <c r="BS146" s="597"/>
      <c r="BT146" s="597"/>
      <c r="BU146" s="597"/>
      <c r="BV146" s="597" t="s">
        <v>487</v>
      </c>
      <c r="BW146" s="597"/>
      <c r="BX146" s="597"/>
      <c r="BY146" s="597"/>
      <c r="BZ146" s="597"/>
      <c r="CA146" s="597"/>
      <c r="CB146" s="597"/>
      <c r="CC146" s="597"/>
      <c r="CD146" s="597"/>
      <c r="CE146" s="597"/>
      <c r="CF146" s="597"/>
      <c r="CG146" s="597"/>
      <c r="CH146" s="597"/>
      <c r="CI146" s="597"/>
      <c r="CJ146" s="597"/>
      <c r="CK146" s="597"/>
      <c r="CL146" s="608">
        <f>CL144+CL145</f>
        <v>2445500</v>
      </c>
      <c r="CM146" s="608"/>
      <c r="CN146" s="608"/>
      <c r="CO146" s="608"/>
      <c r="CP146" s="608"/>
      <c r="CQ146" s="608"/>
      <c r="CR146" s="608"/>
      <c r="CS146" s="608"/>
      <c r="CT146" s="608"/>
      <c r="CU146" s="608"/>
      <c r="CV146" s="608"/>
      <c r="CW146" s="608"/>
      <c r="CX146" s="608"/>
      <c r="CY146" s="608"/>
      <c r="CZ146" s="608"/>
      <c r="DA146" s="608"/>
    </row>
    <row r="149" spans="1:109" s="315" customFormat="1" ht="42.75" hidden="1" customHeight="1" x14ac:dyDescent="0.2">
      <c r="A149" s="591" t="s">
        <v>720</v>
      </c>
      <c r="B149" s="591"/>
      <c r="C149" s="591"/>
      <c r="D149" s="591"/>
      <c r="E149" s="591"/>
      <c r="F149" s="591"/>
      <c r="G149" s="591"/>
      <c r="H149" s="591"/>
      <c r="I149" s="591"/>
      <c r="J149" s="591"/>
      <c r="K149" s="591"/>
      <c r="L149" s="591"/>
      <c r="M149" s="591"/>
      <c r="N149" s="591"/>
      <c r="O149" s="591"/>
      <c r="P149" s="591"/>
      <c r="Q149" s="591"/>
      <c r="R149" s="591"/>
      <c r="S149" s="591"/>
      <c r="T149" s="591"/>
      <c r="U149" s="591"/>
      <c r="V149" s="591"/>
      <c r="W149" s="591"/>
      <c r="X149" s="591"/>
      <c r="Y149" s="591"/>
      <c r="Z149" s="591"/>
      <c r="AA149" s="591"/>
      <c r="AB149" s="591"/>
      <c r="AC149" s="591"/>
      <c r="AD149" s="591"/>
      <c r="AE149" s="591"/>
      <c r="AF149" s="591"/>
      <c r="AG149" s="591"/>
      <c r="AH149" s="591"/>
      <c r="AI149" s="591"/>
      <c r="AJ149" s="591"/>
      <c r="AK149" s="591"/>
      <c r="AL149" s="591"/>
      <c r="AM149" s="591"/>
      <c r="AN149" s="591"/>
      <c r="AO149" s="591"/>
      <c r="AP149" s="591"/>
      <c r="AQ149" s="591"/>
      <c r="AR149" s="591"/>
      <c r="AS149" s="591"/>
      <c r="AT149" s="591"/>
      <c r="AU149" s="591"/>
      <c r="AV149" s="591"/>
      <c r="AW149" s="591"/>
      <c r="AX149" s="591"/>
      <c r="AY149" s="591"/>
      <c r="AZ149" s="591"/>
      <c r="BA149" s="591"/>
      <c r="BB149" s="591"/>
      <c r="BC149" s="591"/>
      <c r="BD149" s="591"/>
      <c r="BE149" s="591"/>
      <c r="BF149" s="591"/>
      <c r="BG149" s="591"/>
      <c r="BH149" s="591"/>
      <c r="BI149" s="591"/>
      <c r="BJ149" s="591"/>
      <c r="BK149" s="591"/>
      <c r="BL149" s="591"/>
      <c r="BM149" s="591"/>
      <c r="BN149" s="591"/>
      <c r="BO149" s="591"/>
      <c r="BP149" s="591"/>
      <c r="BQ149" s="591"/>
      <c r="BR149" s="591"/>
      <c r="BS149" s="591"/>
      <c r="BT149" s="591"/>
      <c r="BU149" s="591"/>
      <c r="BV149" s="591"/>
      <c r="BW149" s="591"/>
      <c r="BX149" s="591"/>
      <c r="BY149" s="591"/>
      <c r="BZ149" s="591"/>
      <c r="CA149" s="591"/>
      <c r="CB149" s="591"/>
      <c r="CC149" s="591"/>
      <c r="CD149" s="591"/>
      <c r="CE149" s="591"/>
      <c r="CF149" s="591"/>
      <c r="CG149" s="591"/>
      <c r="CH149" s="591"/>
      <c r="CI149" s="591"/>
      <c r="CJ149" s="591"/>
      <c r="CK149" s="591"/>
      <c r="CL149" s="591"/>
      <c r="CM149" s="591"/>
      <c r="CN149" s="591"/>
      <c r="CO149" s="591"/>
      <c r="CP149" s="591"/>
      <c r="CQ149" s="591"/>
      <c r="CR149" s="591"/>
      <c r="CS149" s="591"/>
      <c r="CT149" s="591"/>
      <c r="CU149" s="591"/>
      <c r="CV149" s="591"/>
      <c r="CW149" s="591"/>
      <c r="CX149" s="591"/>
      <c r="CY149" s="591"/>
      <c r="CZ149" s="591"/>
      <c r="DA149" s="591"/>
      <c r="DE149" s="340" t="s">
        <v>721</v>
      </c>
    </row>
    <row r="150" spans="1:109" ht="6" hidden="1" customHeight="1" x14ac:dyDescent="0.25"/>
    <row r="151" spans="1:109" ht="10.5" hidden="1" customHeight="1" x14ac:dyDescent="0.25"/>
    <row r="152" spans="1:109" s="318" customFormat="1" ht="45" hidden="1" customHeight="1" x14ac:dyDescent="0.25">
      <c r="A152" s="592" t="s">
        <v>146</v>
      </c>
      <c r="B152" s="593"/>
      <c r="C152" s="593"/>
      <c r="D152" s="593"/>
      <c r="E152" s="593"/>
      <c r="F152" s="593"/>
      <c r="G152" s="594"/>
      <c r="H152" s="592" t="s">
        <v>252</v>
      </c>
      <c r="I152" s="593"/>
      <c r="J152" s="593"/>
      <c r="K152" s="593"/>
      <c r="L152" s="593"/>
      <c r="M152" s="593"/>
      <c r="N152" s="593"/>
      <c r="O152" s="593"/>
      <c r="P152" s="593"/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3"/>
      <c r="AH152" s="593"/>
      <c r="AI152" s="593"/>
      <c r="AJ152" s="593"/>
      <c r="AK152" s="593"/>
      <c r="AL152" s="593"/>
      <c r="AM152" s="593"/>
      <c r="AN152" s="593"/>
      <c r="AO152" s="593"/>
      <c r="AP152" s="593"/>
      <c r="AQ152" s="593"/>
      <c r="AR152" s="593"/>
      <c r="AS152" s="593"/>
      <c r="AT152" s="593"/>
      <c r="AU152" s="593"/>
      <c r="AV152" s="593"/>
      <c r="AW152" s="593"/>
      <c r="AX152" s="593"/>
      <c r="AY152" s="593"/>
      <c r="AZ152" s="593"/>
      <c r="BA152" s="593"/>
      <c r="BB152" s="593"/>
      <c r="BC152" s="594"/>
      <c r="BD152" s="592" t="s">
        <v>689</v>
      </c>
      <c r="BE152" s="593"/>
      <c r="BF152" s="593"/>
      <c r="BG152" s="593"/>
      <c r="BH152" s="593"/>
      <c r="BI152" s="593"/>
      <c r="BJ152" s="593"/>
      <c r="BK152" s="593"/>
      <c r="BL152" s="593"/>
      <c r="BM152" s="593"/>
      <c r="BN152" s="593"/>
      <c r="BO152" s="593"/>
      <c r="BP152" s="593"/>
      <c r="BQ152" s="593"/>
      <c r="BR152" s="593"/>
      <c r="BS152" s="594"/>
      <c r="BT152" s="592" t="s">
        <v>690</v>
      </c>
      <c r="BU152" s="593"/>
      <c r="BV152" s="593"/>
      <c r="BW152" s="593"/>
      <c r="BX152" s="593"/>
      <c r="BY152" s="593"/>
      <c r="BZ152" s="593"/>
      <c r="CA152" s="593"/>
      <c r="CB152" s="593"/>
      <c r="CC152" s="593"/>
      <c r="CD152" s="593"/>
      <c r="CE152" s="593"/>
      <c r="CF152" s="593"/>
      <c r="CG152" s="593"/>
      <c r="CH152" s="593"/>
      <c r="CI152" s="594"/>
      <c r="CJ152" s="592" t="s">
        <v>691</v>
      </c>
      <c r="CK152" s="593"/>
      <c r="CL152" s="593"/>
      <c r="CM152" s="593"/>
      <c r="CN152" s="593"/>
      <c r="CO152" s="593"/>
      <c r="CP152" s="593"/>
      <c r="CQ152" s="593"/>
      <c r="CR152" s="593"/>
      <c r="CS152" s="593"/>
      <c r="CT152" s="593"/>
      <c r="CU152" s="593"/>
      <c r="CV152" s="593"/>
      <c r="CW152" s="593"/>
      <c r="CX152" s="593"/>
      <c r="CY152" s="593"/>
      <c r="CZ152" s="593"/>
      <c r="DA152" s="594"/>
    </row>
    <row r="153" spans="1:109" s="209" customFormat="1" ht="12.75" hidden="1" x14ac:dyDescent="0.25">
      <c r="A153" s="602">
        <v>1</v>
      </c>
      <c r="B153" s="602"/>
      <c r="C153" s="602"/>
      <c r="D153" s="602"/>
      <c r="E153" s="602"/>
      <c r="F153" s="602"/>
      <c r="G153" s="602"/>
      <c r="H153" s="602">
        <v>2</v>
      </c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  <c r="Y153" s="602"/>
      <c r="Z153" s="602"/>
      <c r="AA153" s="602"/>
      <c r="AB153" s="602"/>
      <c r="AC153" s="602"/>
      <c r="AD153" s="602"/>
      <c r="AE153" s="602"/>
      <c r="AF153" s="602"/>
      <c r="AG153" s="602"/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2"/>
      <c r="AS153" s="602"/>
      <c r="AT153" s="602"/>
      <c r="AU153" s="602"/>
      <c r="AV153" s="602"/>
      <c r="AW153" s="602"/>
      <c r="AX153" s="602"/>
      <c r="AY153" s="602"/>
      <c r="AZ153" s="602"/>
      <c r="BA153" s="602"/>
      <c r="BB153" s="602"/>
      <c r="BC153" s="602"/>
      <c r="BD153" s="602">
        <v>3</v>
      </c>
      <c r="BE153" s="602"/>
      <c r="BF153" s="602"/>
      <c r="BG153" s="602"/>
      <c r="BH153" s="602"/>
      <c r="BI153" s="602"/>
      <c r="BJ153" s="602"/>
      <c r="BK153" s="602"/>
      <c r="BL153" s="602"/>
      <c r="BM153" s="602"/>
      <c r="BN153" s="602"/>
      <c r="BO153" s="602"/>
      <c r="BP153" s="602"/>
      <c r="BQ153" s="602"/>
      <c r="BR153" s="602"/>
      <c r="BS153" s="602"/>
      <c r="BT153" s="602">
        <v>4</v>
      </c>
      <c r="BU153" s="602"/>
      <c r="BV153" s="602"/>
      <c r="BW153" s="602"/>
      <c r="BX153" s="602"/>
      <c r="BY153" s="602"/>
      <c r="BZ153" s="602"/>
      <c r="CA153" s="602"/>
      <c r="CB153" s="602"/>
      <c r="CC153" s="602"/>
      <c r="CD153" s="602"/>
      <c r="CE153" s="602"/>
      <c r="CF153" s="602"/>
      <c r="CG153" s="602"/>
      <c r="CH153" s="602"/>
      <c r="CI153" s="602"/>
      <c r="CJ153" s="602">
        <v>5</v>
      </c>
      <c r="CK153" s="602"/>
      <c r="CL153" s="602"/>
      <c r="CM153" s="602"/>
      <c r="CN153" s="602"/>
      <c r="CO153" s="602"/>
      <c r="CP153" s="602"/>
      <c r="CQ153" s="602"/>
      <c r="CR153" s="602"/>
      <c r="CS153" s="602"/>
      <c r="CT153" s="602"/>
      <c r="CU153" s="602"/>
      <c r="CV153" s="602"/>
      <c r="CW153" s="602"/>
      <c r="CX153" s="602"/>
      <c r="CY153" s="602"/>
      <c r="CZ153" s="602"/>
      <c r="DA153" s="602"/>
    </row>
    <row r="154" spans="1:109" s="317" customFormat="1" ht="15" hidden="1" customHeight="1" x14ac:dyDescent="0.25">
      <c r="A154" s="595" t="s">
        <v>381</v>
      </c>
      <c r="B154" s="595"/>
      <c r="C154" s="595"/>
      <c r="D154" s="595"/>
      <c r="E154" s="595"/>
      <c r="F154" s="595"/>
      <c r="G154" s="595"/>
      <c r="H154" s="653" t="s">
        <v>722</v>
      </c>
      <c r="I154" s="612"/>
      <c r="J154" s="612"/>
      <c r="K154" s="612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612"/>
      <c r="W154" s="612"/>
      <c r="X154" s="612"/>
      <c r="Y154" s="612"/>
      <c r="Z154" s="612"/>
      <c r="AA154" s="612"/>
      <c r="AB154" s="612"/>
      <c r="AC154" s="612"/>
      <c r="AD154" s="612"/>
      <c r="AE154" s="612"/>
      <c r="AF154" s="612"/>
      <c r="AG154" s="612"/>
      <c r="AH154" s="612"/>
      <c r="AI154" s="612"/>
      <c r="AJ154" s="612"/>
      <c r="AK154" s="612"/>
      <c r="AL154" s="612"/>
      <c r="AM154" s="612"/>
      <c r="AN154" s="612"/>
      <c r="AO154" s="612"/>
      <c r="AP154" s="612"/>
      <c r="AQ154" s="612"/>
      <c r="AR154" s="612"/>
      <c r="AS154" s="612"/>
      <c r="AT154" s="612"/>
      <c r="AU154" s="612"/>
      <c r="AV154" s="612"/>
      <c r="AW154" s="612"/>
      <c r="AX154" s="612"/>
      <c r="AY154" s="612"/>
      <c r="AZ154" s="612"/>
      <c r="BA154" s="612"/>
      <c r="BB154" s="612"/>
      <c r="BC154" s="613"/>
      <c r="BD154" s="597"/>
      <c r="BE154" s="597"/>
      <c r="BF154" s="597"/>
      <c r="BG154" s="597"/>
      <c r="BH154" s="597"/>
      <c r="BI154" s="597"/>
      <c r="BJ154" s="597"/>
      <c r="BK154" s="597"/>
      <c r="BL154" s="597"/>
      <c r="BM154" s="597"/>
      <c r="BN154" s="597"/>
      <c r="BO154" s="597"/>
      <c r="BP154" s="597"/>
      <c r="BQ154" s="597"/>
      <c r="BR154" s="597"/>
      <c r="BS154" s="597"/>
      <c r="BT154" s="597">
        <v>1</v>
      </c>
      <c r="BU154" s="597"/>
      <c r="BV154" s="597"/>
      <c r="BW154" s="597"/>
      <c r="BX154" s="597"/>
      <c r="BY154" s="597"/>
      <c r="BZ154" s="597"/>
      <c r="CA154" s="597"/>
      <c r="CB154" s="597"/>
      <c r="CC154" s="597"/>
      <c r="CD154" s="597"/>
      <c r="CE154" s="597"/>
      <c r="CF154" s="597"/>
      <c r="CG154" s="597"/>
      <c r="CH154" s="597"/>
      <c r="CI154" s="597"/>
      <c r="CJ154" s="601">
        <f>BD154*BT154</f>
        <v>0</v>
      </c>
      <c r="CK154" s="601"/>
      <c r="CL154" s="601"/>
      <c r="CM154" s="601"/>
      <c r="CN154" s="601"/>
      <c r="CO154" s="601"/>
      <c r="CP154" s="601"/>
      <c r="CQ154" s="601"/>
      <c r="CR154" s="601"/>
      <c r="CS154" s="601"/>
      <c r="CT154" s="601"/>
      <c r="CU154" s="601"/>
      <c r="CV154" s="601"/>
      <c r="CW154" s="601"/>
      <c r="CX154" s="601"/>
      <c r="CY154" s="601"/>
      <c r="CZ154" s="601"/>
      <c r="DA154" s="601"/>
      <c r="DE154" s="317">
        <v>310</v>
      </c>
    </row>
    <row r="155" spans="1:109" s="317" customFormat="1" ht="15" hidden="1" customHeight="1" x14ac:dyDescent="0.25">
      <c r="A155" s="804" t="s">
        <v>390</v>
      </c>
      <c r="B155" s="805"/>
      <c r="C155" s="805"/>
      <c r="D155" s="805"/>
      <c r="E155" s="805"/>
      <c r="F155" s="805"/>
      <c r="G155" s="806"/>
      <c r="H155" s="653" t="s">
        <v>723</v>
      </c>
      <c r="I155" s="612"/>
      <c r="J155" s="612"/>
      <c r="K155" s="612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612"/>
      <c r="W155" s="612"/>
      <c r="X155" s="612"/>
      <c r="Y155" s="612"/>
      <c r="Z155" s="612"/>
      <c r="AA155" s="612"/>
      <c r="AB155" s="612"/>
      <c r="AC155" s="612"/>
      <c r="AD155" s="612"/>
      <c r="AE155" s="612"/>
      <c r="AF155" s="612"/>
      <c r="AG155" s="612"/>
      <c r="AH155" s="612"/>
      <c r="AI155" s="612"/>
      <c r="AJ155" s="612"/>
      <c r="AK155" s="612"/>
      <c r="AL155" s="612"/>
      <c r="AM155" s="612"/>
      <c r="AN155" s="612"/>
      <c r="AO155" s="612"/>
      <c r="AP155" s="612"/>
      <c r="AQ155" s="612"/>
      <c r="AR155" s="612"/>
      <c r="AS155" s="612"/>
      <c r="AT155" s="612"/>
      <c r="AU155" s="612"/>
      <c r="AV155" s="612"/>
      <c r="AW155" s="612"/>
      <c r="AX155" s="612"/>
      <c r="AY155" s="612"/>
      <c r="AZ155" s="612"/>
      <c r="BA155" s="612"/>
      <c r="BB155" s="612"/>
      <c r="BC155" s="613"/>
      <c r="BD155" s="597"/>
      <c r="BE155" s="597"/>
      <c r="BF155" s="597"/>
      <c r="BG155" s="597"/>
      <c r="BH155" s="597"/>
      <c r="BI155" s="597"/>
      <c r="BJ155" s="597"/>
      <c r="BK155" s="597"/>
      <c r="BL155" s="597"/>
      <c r="BM155" s="597"/>
      <c r="BN155" s="597"/>
      <c r="BO155" s="597"/>
      <c r="BP155" s="597"/>
      <c r="BQ155" s="597"/>
      <c r="BR155" s="597"/>
      <c r="BS155" s="597"/>
      <c r="BT155" s="598">
        <v>1</v>
      </c>
      <c r="BU155" s="599"/>
      <c r="BV155" s="599"/>
      <c r="BW155" s="599"/>
      <c r="BX155" s="599"/>
      <c r="BY155" s="599"/>
      <c r="BZ155" s="599"/>
      <c r="CA155" s="599"/>
      <c r="CB155" s="599"/>
      <c r="CC155" s="599"/>
      <c r="CD155" s="599"/>
      <c r="CE155" s="599"/>
      <c r="CF155" s="599"/>
      <c r="CG155" s="599"/>
      <c r="CH155" s="599"/>
      <c r="CI155" s="600"/>
      <c r="CJ155" s="601">
        <f>BD155*BT155</f>
        <v>0</v>
      </c>
      <c r="CK155" s="601"/>
      <c r="CL155" s="601"/>
      <c r="CM155" s="601"/>
      <c r="CN155" s="601"/>
      <c r="CO155" s="601"/>
      <c r="CP155" s="601"/>
      <c r="CQ155" s="601"/>
      <c r="CR155" s="601"/>
      <c r="CS155" s="601"/>
      <c r="CT155" s="601"/>
      <c r="CU155" s="601"/>
      <c r="CV155" s="601"/>
      <c r="CW155" s="601"/>
      <c r="CX155" s="601"/>
      <c r="CY155" s="601"/>
      <c r="CZ155" s="601"/>
      <c r="DA155" s="601"/>
      <c r="DE155" s="317">
        <v>340</v>
      </c>
    </row>
    <row r="156" spans="1:109" s="317" customFormat="1" ht="15" hidden="1" customHeight="1" x14ac:dyDescent="0.25">
      <c r="A156" s="595"/>
      <c r="B156" s="595"/>
      <c r="C156" s="595"/>
      <c r="D156" s="595"/>
      <c r="E156" s="595"/>
      <c r="F156" s="595"/>
      <c r="G156" s="595"/>
      <c r="H156" s="606" t="s">
        <v>610</v>
      </c>
      <c r="I156" s="606"/>
      <c r="J156" s="606"/>
      <c r="K156" s="606"/>
      <c r="L156" s="606"/>
      <c r="M156" s="606"/>
      <c r="N156" s="606"/>
      <c r="O156" s="606"/>
      <c r="P156" s="606"/>
      <c r="Q156" s="606"/>
      <c r="R156" s="606"/>
      <c r="S156" s="606"/>
      <c r="T156" s="606"/>
      <c r="U156" s="606"/>
      <c r="V156" s="606"/>
      <c r="W156" s="606"/>
      <c r="X156" s="606"/>
      <c r="Y156" s="606"/>
      <c r="Z156" s="606"/>
      <c r="AA156" s="606"/>
      <c r="AB156" s="606"/>
      <c r="AC156" s="606"/>
      <c r="AD156" s="606"/>
      <c r="AE156" s="606"/>
      <c r="AF156" s="606"/>
      <c r="AG156" s="606"/>
      <c r="AH156" s="606"/>
      <c r="AI156" s="606"/>
      <c r="AJ156" s="606"/>
      <c r="AK156" s="606"/>
      <c r="AL156" s="606"/>
      <c r="AM156" s="606"/>
      <c r="AN156" s="606"/>
      <c r="AO156" s="606"/>
      <c r="AP156" s="606"/>
      <c r="AQ156" s="606"/>
      <c r="AR156" s="606"/>
      <c r="AS156" s="606"/>
      <c r="AT156" s="606"/>
      <c r="AU156" s="606"/>
      <c r="AV156" s="606"/>
      <c r="AW156" s="606"/>
      <c r="AX156" s="606"/>
      <c r="AY156" s="606"/>
      <c r="AZ156" s="606"/>
      <c r="BA156" s="606"/>
      <c r="BB156" s="606"/>
      <c r="BC156" s="607"/>
      <c r="BD156" s="597" t="s">
        <v>487</v>
      </c>
      <c r="BE156" s="597"/>
      <c r="BF156" s="597"/>
      <c r="BG156" s="597"/>
      <c r="BH156" s="597"/>
      <c r="BI156" s="597"/>
      <c r="BJ156" s="597"/>
      <c r="BK156" s="597"/>
      <c r="BL156" s="597"/>
      <c r="BM156" s="597"/>
      <c r="BN156" s="597"/>
      <c r="BO156" s="597"/>
      <c r="BP156" s="597"/>
      <c r="BQ156" s="597"/>
      <c r="BR156" s="597"/>
      <c r="BS156" s="597"/>
      <c r="BT156" s="597" t="s">
        <v>487</v>
      </c>
      <c r="BU156" s="597"/>
      <c r="BV156" s="597"/>
      <c r="BW156" s="597"/>
      <c r="BX156" s="597"/>
      <c r="BY156" s="597"/>
      <c r="BZ156" s="597"/>
      <c r="CA156" s="597"/>
      <c r="CB156" s="597"/>
      <c r="CC156" s="597"/>
      <c r="CD156" s="597"/>
      <c r="CE156" s="597"/>
      <c r="CF156" s="597"/>
      <c r="CG156" s="597"/>
      <c r="CH156" s="597"/>
      <c r="CI156" s="597"/>
      <c r="CJ156" s="608">
        <f>CJ154+CJ155</f>
        <v>0</v>
      </c>
      <c r="CK156" s="608"/>
      <c r="CL156" s="608"/>
      <c r="CM156" s="608"/>
      <c r="CN156" s="608"/>
      <c r="CO156" s="608"/>
      <c r="CP156" s="608"/>
      <c r="CQ156" s="608"/>
      <c r="CR156" s="608"/>
      <c r="CS156" s="608"/>
      <c r="CT156" s="608"/>
      <c r="CU156" s="608"/>
      <c r="CV156" s="608"/>
      <c r="CW156" s="608"/>
      <c r="CX156" s="608"/>
      <c r="CY156" s="608"/>
      <c r="CZ156" s="608"/>
      <c r="DA156" s="608"/>
    </row>
    <row r="158" spans="1:109" s="315" customFormat="1" ht="42.75" customHeight="1" x14ac:dyDescent="0.2">
      <c r="A158" s="591" t="s">
        <v>724</v>
      </c>
      <c r="B158" s="591"/>
      <c r="C158" s="591"/>
      <c r="D158" s="591"/>
      <c r="E158" s="591"/>
      <c r="F158" s="591"/>
      <c r="G158" s="591"/>
      <c r="H158" s="591"/>
      <c r="I158" s="591"/>
      <c r="J158" s="591"/>
      <c r="K158" s="591"/>
      <c r="L158" s="591"/>
      <c r="M158" s="591"/>
      <c r="N158" s="591"/>
      <c r="O158" s="591"/>
      <c r="P158" s="591"/>
      <c r="Q158" s="591"/>
      <c r="R158" s="591"/>
      <c r="S158" s="591"/>
      <c r="T158" s="591"/>
      <c r="U158" s="591"/>
      <c r="V158" s="591"/>
      <c r="W158" s="591"/>
      <c r="X158" s="591"/>
      <c r="Y158" s="591"/>
      <c r="Z158" s="591"/>
      <c r="AA158" s="591"/>
      <c r="AB158" s="591"/>
      <c r="AC158" s="591"/>
      <c r="AD158" s="591"/>
      <c r="AE158" s="591"/>
      <c r="AF158" s="591"/>
      <c r="AG158" s="591"/>
      <c r="AH158" s="591"/>
      <c r="AI158" s="591"/>
      <c r="AJ158" s="591"/>
      <c r="AK158" s="591"/>
      <c r="AL158" s="591"/>
      <c r="AM158" s="591"/>
      <c r="AN158" s="591"/>
      <c r="AO158" s="591"/>
      <c r="AP158" s="591"/>
      <c r="AQ158" s="591"/>
      <c r="AR158" s="591"/>
      <c r="AS158" s="591"/>
      <c r="AT158" s="591"/>
      <c r="AU158" s="591"/>
      <c r="AV158" s="591"/>
      <c r="AW158" s="591"/>
      <c r="AX158" s="591"/>
      <c r="AY158" s="591"/>
      <c r="AZ158" s="591"/>
      <c r="BA158" s="591"/>
      <c r="BB158" s="591"/>
      <c r="BC158" s="591"/>
      <c r="BD158" s="591"/>
      <c r="BE158" s="591"/>
      <c r="BF158" s="591"/>
      <c r="BG158" s="591"/>
      <c r="BH158" s="591"/>
      <c r="BI158" s="591"/>
      <c r="BJ158" s="591"/>
      <c r="BK158" s="591"/>
      <c r="BL158" s="591"/>
      <c r="BM158" s="591"/>
      <c r="BN158" s="591"/>
      <c r="BO158" s="591"/>
      <c r="BP158" s="591"/>
      <c r="BQ158" s="591"/>
      <c r="BR158" s="591"/>
      <c r="BS158" s="591"/>
      <c r="BT158" s="591"/>
      <c r="BU158" s="591"/>
      <c r="BV158" s="591"/>
      <c r="BW158" s="591"/>
      <c r="BX158" s="591"/>
      <c r="BY158" s="591"/>
      <c r="BZ158" s="591"/>
      <c r="CA158" s="591"/>
      <c r="CB158" s="591"/>
      <c r="CC158" s="591"/>
      <c r="CD158" s="591"/>
      <c r="CE158" s="591"/>
      <c r="CF158" s="591"/>
      <c r="CG158" s="591"/>
      <c r="CH158" s="591"/>
      <c r="CI158" s="591"/>
      <c r="CJ158" s="591"/>
      <c r="CK158" s="591"/>
      <c r="CL158" s="591"/>
      <c r="CM158" s="591"/>
      <c r="CN158" s="591"/>
      <c r="CO158" s="591"/>
      <c r="CP158" s="591"/>
      <c r="CQ158" s="591"/>
      <c r="CR158" s="591"/>
      <c r="CS158" s="591"/>
      <c r="CT158" s="591"/>
      <c r="CU158" s="591"/>
      <c r="CV158" s="591"/>
      <c r="CW158" s="591"/>
      <c r="CX158" s="591"/>
      <c r="CY158" s="591"/>
      <c r="CZ158" s="591"/>
      <c r="DA158" s="591"/>
      <c r="DE158" s="341" t="s">
        <v>725</v>
      </c>
    </row>
    <row r="159" spans="1:109" ht="6" customHeight="1" x14ac:dyDescent="0.25"/>
    <row r="160" spans="1:109" ht="10.5" customHeight="1" x14ac:dyDescent="0.25"/>
    <row r="161" spans="1:109" s="318" customFormat="1" ht="45" customHeight="1" x14ac:dyDescent="0.25">
      <c r="A161" s="592" t="s">
        <v>146</v>
      </c>
      <c r="B161" s="593"/>
      <c r="C161" s="593"/>
      <c r="D161" s="593"/>
      <c r="E161" s="593"/>
      <c r="F161" s="593"/>
      <c r="G161" s="594"/>
      <c r="H161" s="592" t="s">
        <v>252</v>
      </c>
      <c r="I161" s="593"/>
      <c r="J161" s="593"/>
      <c r="K161" s="593"/>
      <c r="L161" s="593"/>
      <c r="M161" s="593"/>
      <c r="N161" s="593"/>
      <c r="O161" s="593"/>
      <c r="P161" s="593"/>
      <c r="Q161" s="593"/>
      <c r="R161" s="593"/>
      <c r="S161" s="593"/>
      <c r="T161" s="593"/>
      <c r="U161" s="593"/>
      <c r="V161" s="593"/>
      <c r="W161" s="593"/>
      <c r="X161" s="593"/>
      <c r="Y161" s="593"/>
      <c r="Z161" s="593"/>
      <c r="AA161" s="593"/>
      <c r="AB161" s="593"/>
      <c r="AC161" s="593"/>
      <c r="AD161" s="593"/>
      <c r="AE161" s="593"/>
      <c r="AF161" s="593"/>
      <c r="AG161" s="593"/>
      <c r="AH161" s="593"/>
      <c r="AI161" s="593"/>
      <c r="AJ161" s="593"/>
      <c r="AK161" s="593"/>
      <c r="AL161" s="593"/>
      <c r="AM161" s="593"/>
      <c r="AN161" s="593"/>
      <c r="AO161" s="593"/>
      <c r="AP161" s="593"/>
      <c r="AQ161" s="593"/>
      <c r="AR161" s="593"/>
      <c r="AS161" s="593"/>
      <c r="AT161" s="593"/>
      <c r="AU161" s="593"/>
      <c r="AV161" s="593"/>
      <c r="AW161" s="593"/>
      <c r="AX161" s="593"/>
      <c r="AY161" s="593"/>
      <c r="AZ161" s="593"/>
      <c r="BA161" s="593"/>
      <c r="BB161" s="593"/>
      <c r="BC161" s="594"/>
      <c r="BD161" s="592" t="s">
        <v>689</v>
      </c>
      <c r="BE161" s="593"/>
      <c r="BF161" s="593"/>
      <c r="BG161" s="593"/>
      <c r="BH161" s="593"/>
      <c r="BI161" s="593"/>
      <c r="BJ161" s="593"/>
      <c r="BK161" s="593"/>
      <c r="BL161" s="593"/>
      <c r="BM161" s="593"/>
      <c r="BN161" s="593"/>
      <c r="BO161" s="593"/>
      <c r="BP161" s="593"/>
      <c r="BQ161" s="593"/>
      <c r="BR161" s="593"/>
      <c r="BS161" s="594"/>
      <c r="BT161" s="592" t="s">
        <v>690</v>
      </c>
      <c r="BU161" s="593"/>
      <c r="BV161" s="593"/>
      <c r="BW161" s="593"/>
      <c r="BX161" s="593"/>
      <c r="BY161" s="593"/>
      <c r="BZ161" s="593"/>
      <c r="CA161" s="593"/>
      <c r="CB161" s="593"/>
      <c r="CC161" s="593"/>
      <c r="CD161" s="593"/>
      <c r="CE161" s="593"/>
      <c r="CF161" s="593"/>
      <c r="CG161" s="593"/>
      <c r="CH161" s="593"/>
      <c r="CI161" s="594"/>
      <c r="CJ161" s="592" t="s">
        <v>691</v>
      </c>
      <c r="CK161" s="593"/>
      <c r="CL161" s="593"/>
      <c r="CM161" s="593"/>
      <c r="CN161" s="593"/>
      <c r="CO161" s="593"/>
      <c r="CP161" s="593"/>
      <c r="CQ161" s="593"/>
      <c r="CR161" s="593"/>
      <c r="CS161" s="593"/>
      <c r="CT161" s="593"/>
      <c r="CU161" s="593"/>
      <c r="CV161" s="593"/>
      <c r="CW161" s="593"/>
      <c r="CX161" s="593"/>
      <c r="CY161" s="593"/>
      <c r="CZ161" s="593"/>
      <c r="DA161" s="594"/>
    </row>
    <row r="162" spans="1:109" s="209" customFormat="1" ht="12.75" x14ac:dyDescent="0.25">
      <c r="A162" s="602">
        <v>1</v>
      </c>
      <c r="B162" s="602"/>
      <c r="C162" s="602"/>
      <c r="D162" s="602"/>
      <c r="E162" s="602"/>
      <c r="F162" s="602"/>
      <c r="G162" s="602"/>
      <c r="H162" s="602">
        <v>2</v>
      </c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  <c r="AA162" s="602"/>
      <c r="AB162" s="602"/>
      <c r="AC162" s="602"/>
      <c r="AD162" s="602"/>
      <c r="AE162" s="602"/>
      <c r="AF162" s="602"/>
      <c r="AG162" s="602"/>
      <c r="AH162" s="602"/>
      <c r="AI162" s="602"/>
      <c r="AJ162" s="602"/>
      <c r="AK162" s="602"/>
      <c r="AL162" s="602"/>
      <c r="AM162" s="602"/>
      <c r="AN162" s="602"/>
      <c r="AO162" s="602"/>
      <c r="AP162" s="602"/>
      <c r="AQ162" s="602"/>
      <c r="AR162" s="602"/>
      <c r="AS162" s="602"/>
      <c r="AT162" s="602"/>
      <c r="AU162" s="602"/>
      <c r="AV162" s="602"/>
      <c r="AW162" s="602"/>
      <c r="AX162" s="602"/>
      <c r="AY162" s="602"/>
      <c r="AZ162" s="602"/>
      <c r="BA162" s="602"/>
      <c r="BB162" s="602"/>
      <c r="BC162" s="602"/>
      <c r="BD162" s="602">
        <v>3</v>
      </c>
      <c r="BE162" s="602"/>
      <c r="BF162" s="602"/>
      <c r="BG162" s="602"/>
      <c r="BH162" s="602"/>
      <c r="BI162" s="602"/>
      <c r="BJ162" s="602"/>
      <c r="BK162" s="602"/>
      <c r="BL162" s="602"/>
      <c r="BM162" s="602"/>
      <c r="BN162" s="602"/>
      <c r="BO162" s="602"/>
      <c r="BP162" s="602"/>
      <c r="BQ162" s="602"/>
      <c r="BR162" s="602"/>
      <c r="BS162" s="602"/>
      <c r="BT162" s="602">
        <v>4</v>
      </c>
      <c r="BU162" s="602"/>
      <c r="BV162" s="602"/>
      <c r="BW162" s="602"/>
      <c r="BX162" s="602"/>
      <c r="BY162" s="602"/>
      <c r="BZ162" s="602"/>
      <c r="CA162" s="602"/>
      <c r="CB162" s="602"/>
      <c r="CC162" s="602"/>
      <c r="CD162" s="602"/>
      <c r="CE162" s="602"/>
      <c r="CF162" s="602"/>
      <c r="CG162" s="602"/>
      <c r="CH162" s="602"/>
      <c r="CI162" s="602"/>
      <c r="CJ162" s="602">
        <v>5</v>
      </c>
      <c r="CK162" s="602"/>
      <c r="CL162" s="602"/>
      <c r="CM162" s="602"/>
      <c r="CN162" s="602"/>
      <c r="CO162" s="602"/>
      <c r="CP162" s="602"/>
      <c r="CQ162" s="602"/>
      <c r="CR162" s="602"/>
      <c r="CS162" s="602"/>
      <c r="CT162" s="602"/>
      <c r="CU162" s="602"/>
      <c r="CV162" s="602"/>
      <c r="CW162" s="602"/>
      <c r="CX162" s="602"/>
      <c r="CY162" s="602"/>
      <c r="CZ162" s="602"/>
      <c r="DA162" s="602"/>
    </row>
    <row r="163" spans="1:109" s="317" customFormat="1" ht="12.75" x14ac:dyDescent="0.25">
      <c r="A163" s="595" t="s">
        <v>381</v>
      </c>
      <c r="B163" s="595"/>
      <c r="C163" s="595"/>
      <c r="D163" s="595"/>
      <c r="E163" s="595"/>
      <c r="F163" s="595"/>
      <c r="G163" s="595"/>
      <c r="H163" s="653">
        <v>211</v>
      </c>
      <c r="I163" s="612"/>
      <c r="J163" s="612"/>
      <c r="K163" s="612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612"/>
      <c r="W163" s="612"/>
      <c r="X163" s="612"/>
      <c r="Y163" s="612"/>
      <c r="Z163" s="612"/>
      <c r="AA163" s="612"/>
      <c r="AB163" s="612"/>
      <c r="AC163" s="612"/>
      <c r="AD163" s="612"/>
      <c r="AE163" s="612"/>
      <c r="AF163" s="612"/>
      <c r="AG163" s="612"/>
      <c r="AH163" s="612"/>
      <c r="AI163" s="612"/>
      <c r="AJ163" s="612"/>
      <c r="AK163" s="612"/>
      <c r="AL163" s="612"/>
      <c r="AM163" s="612"/>
      <c r="AN163" s="612"/>
      <c r="AO163" s="612"/>
      <c r="AP163" s="612"/>
      <c r="AQ163" s="612"/>
      <c r="AR163" s="612"/>
      <c r="AS163" s="612"/>
      <c r="AT163" s="612"/>
      <c r="AU163" s="612"/>
      <c r="AV163" s="612"/>
      <c r="AW163" s="612"/>
      <c r="AX163" s="612"/>
      <c r="AY163" s="612"/>
      <c r="AZ163" s="612"/>
      <c r="BA163" s="612"/>
      <c r="BB163" s="612"/>
      <c r="BC163" s="613"/>
      <c r="BD163" s="597"/>
      <c r="BE163" s="597"/>
      <c r="BF163" s="597"/>
      <c r="BG163" s="597"/>
      <c r="BH163" s="597"/>
      <c r="BI163" s="597"/>
      <c r="BJ163" s="597"/>
      <c r="BK163" s="597"/>
      <c r="BL163" s="597"/>
      <c r="BM163" s="597"/>
      <c r="BN163" s="597"/>
      <c r="BO163" s="597"/>
      <c r="BP163" s="597"/>
      <c r="BQ163" s="597"/>
      <c r="BR163" s="597"/>
      <c r="BS163" s="597"/>
      <c r="BT163" s="597"/>
      <c r="BU163" s="597"/>
      <c r="BV163" s="597"/>
      <c r="BW163" s="597"/>
      <c r="BX163" s="597"/>
      <c r="BY163" s="597"/>
      <c r="BZ163" s="597"/>
      <c r="CA163" s="597"/>
      <c r="CB163" s="597"/>
      <c r="CC163" s="597"/>
      <c r="CD163" s="597"/>
      <c r="CE163" s="597"/>
      <c r="CF163" s="597"/>
      <c r="CG163" s="597"/>
      <c r="CH163" s="597"/>
      <c r="CI163" s="597"/>
      <c r="CJ163" s="601">
        <v>920095</v>
      </c>
      <c r="CK163" s="601"/>
      <c r="CL163" s="601"/>
      <c r="CM163" s="601"/>
      <c r="CN163" s="601"/>
      <c r="CO163" s="601"/>
      <c r="CP163" s="601"/>
      <c r="CQ163" s="601"/>
      <c r="CR163" s="601"/>
      <c r="CS163" s="601"/>
      <c r="CT163" s="601"/>
      <c r="CU163" s="601"/>
      <c r="CV163" s="601"/>
      <c r="CW163" s="601"/>
      <c r="CX163" s="601"/>
      <c r="CY163" s="601"/>
      <c r="CZ163" s="601"/>
      <c r="DA163" s="601"/>
    </row>
    <row r="164" spans="1:109" s="317" customFormat="1" ht="12.75" x14ac:dyDescent="0.25">
      <c r="A164" s="804" t="s">
        <v>390</v>
      </c>
      <c r="B164" s="805"/>
      <c r="C164" s="805"/>
      <c r="D164" s="805"/>
      <c r="E164" s="805"/>
      <c r="F164" s="805"/>
      <c r="G164" s="806"/>
      <c r="H164" s="653">
        <v>213</v>
      </c>
      <c r="I164" s="612"/>
      <c r="J164" s="612"/>
      <c r="K164" s="612"/>
      <c r="L164" s="612"/>
      <c r="M164" s="612"/>
      <c r="N164" s="612"/>
      <c r="O164" s="612"/>
      <c r="P164" s="612"/>
      <c r="Q164" s="612"/>
      <c r="R164" s="612"/>
      <c r="S164" s="612"/>
      <c r="T164" s="612"/>
      <c r="U164" s="612"/>
      <c r="V164" s="612"/>
      <c r="W164" s="612"/>
      <c r="X164" s="612"/>
      <c r="Y164" s="612"/>
      <c r="Z164" s="612"/>
      <c r="AA164" s="612"/>
      <c r="AB164" s="612"/>
      <c r="AC164" s="612"/>
      <c r="AD164" s="612"/>
      <c r="AE164" s="612"/>
      <c r="AF164" s="612"/>
      <c r="AG164" s="612"/>
      <c r="AH164" s="612"/>
      <c r="AI164" s="612"/>
      <c r="AJ164" s="612"/>
      <c r="AK164" s="612"/>
      <c r="AL164" s="612"/>
      <c r="AM164" s="612"/>
      <c r="AN164" s="612"/>
      <c r="AO164" s="612"/>
      <c r="AP164" s="612"/>
      <c r="AQ164" s="612"/>
      <c r="AR164" s="612"/>
      <c r="AS164" s="612"/>
      <c r="AT164" s="612"/>
      <c r="AU164" s="612"/>
      <c r="AV164" s="612"/>
      <c r="AW164" s="612"/>
      <c r="AX164" s="612"/>
      <c r="AY164" s="612"/>
      <c r="AZ164" s="612"/>
      <c r="BA164" s="612"/>
      <c r="BB164" s="612"/>
      <c r="BC164" s="613"/>
      <c r="BD164" s="597"/>
      <c r="BE164" s="597"/>
      <c r="BF164" s="597"/>
      <c r="BG164" s="597"/>
      <c r="BH164" s="597"/>
      <c r="BI164" s="597"/>
      <c r="BJ164" s="597"/>
      <c r="BK164" s="597"/>
      <c r="BL164" s="597"/>
      <c r="BM164" s="597"/>
      <c r="BN164" s="597"/>
      <c r="BO164" s="597"/>
      <c r="BP164" s="597"/>
      <c r="BQ164" s="597"/>
      <c r="BR164" s="597"/>
      <c r="BS164" s="597"/>
      <c r="BT164" s="598"/>
      <c r="BU164" s="599"/>
      <c r="BV164" s="599"/>
      <c r="BW164" s="599"/>
      <c r="BX164" s="599"/>
      <c r="BY164" s="599"/>
      <c r="BZ164" s="599"/>
      <c r="CA164" s="599"/>
      <c r="CB164" s="599"/>
      <c r="CC164" s="599"/>
      <c r="CD164" s="599"/>
      <c r="CE164" s="599"/>
      <c r="CF164" s="599"/>
      <c r="CG164" s="599"/>
      <c r="CH164" s="599"/>
      <c r="CI164" s="600"/>
      <c r="CJ164" s="601">
        <v>274740</v>
      </c>
      <c r="CK164" s="601"/>
      <c r="CL164" s="601"/>
      <c r="CM164" s="601"/>
      <c r="CN164" s="601"/>
      <c r="CO164" s="601"/>
      <c r="CP164" s="601"/>
      <c r="CQ164" s="601"/>
      <c r="CR164" s="601"/>
      <c r="CS164" s="601"/>
      <c r="CT164" s="601"/>
      <c r="CU164" s="601"/>
      <c r="CV164" s="601"/>
      <c r="CW164" s="601"/>
      <c r="CX164" s="601"/>
      <c r="CY164" s="601"/>
      <c r="CZ164" s="601"/>
      <c r="DA164" s="601"/>
    </row>
    <row r="165" spans="1:109" s="317" customFormat="1" ht="12.75" x14ac:dyDescent="0.25">
      <c r="A165" s="804" t="s">
        <v>406</v>
      </c>
      <c r="B165" s="805"/>
      <c r="C165" s="805"/>
      <c r="D165" s="805"/>
      <c r="E165" s="805"/>
      <c r="F165" s="805"/>
      <c r="G165" s="806"/>
      <c r="H165" s="653">
        <v>226</v>
      </c>
      <c r="I165" s="612"/>
      <c r="J165" s="612"/>
      <c r="K165" s="612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612"/>
      <c r="W165" s="612"/>
      <c r="X165" s="612"/>
      <c r="Y165" s="612"/>
      <c r="Z165" s="612"/>
      <c r="AA165" s="612"/>
      <c r="AB165" s="612"/>
      <c r="AC165" s="612"/>
      <c r="AD165" s="612"/>
      <c r="AE165" s="612"/>
      <c r="AF165" s="612"/>
      <c r="AG165" s="612"/>
      <c r="AH165" s="612"/>
      <c r="AI165" s="612"/>
      <c r="AJ165" s="612"/>
      <c r="AK165" s="612"/>
      <c r="AL165" s="612"/>
      <c r="AM165" s="612"/>
      <c r="AN165" s="612"/>
      <c r="AO165" s="612"/>
      <c r="AP165" s="612"/>
      <c r="AQ165" s="612"/>
      <c r="AR165" s="612"/>
      <c r="AS165" s="612"/>
      <c r="AT165" s="612"/>
      <c r="AU165" s="612"/>
      <c r="AV165" s="612"/>
      <c r="AW165" s="612"/>
      <c r="AX165" s="612"/>
      <c r="AY165" s="612"/>
      <c r="AZ165" s="612"/>
      <c r="BA165" s="612"/>
      <c r="BB165" s="612"/>
      <c r="BC165" s="613"/>
      <c r="BD165" s="597"/>
      <c r="BE165" s="597"/>
      <c r="BF165" s="597"/>
      <c r="BG165" s="597"/>
      <c r="BH165" s="597"/>
      <c r="BI165" s="597"/>
      <c r="BJ165" s="597"/>
      <c r="BK165" s="597"/>
      <c r="BL165" s="597"/>
      <c r="BM165" s="597"/>
      <c r="BN165" s="597"/>
      <c r="BO165" s="597"/>
      <c r="BP165" s="597"/>
      <c r="BQ165" s="597"/>
      <c r="BR165" s="597"/>
      <c r="BS165" s="597"/>
      <c r="BT165" s="598"/>
      <c r="BU165" s="599"/>
      <c r="BV165" s="599"/>
      <c r="BW165" s="599"/>
      <c r="BX165" s="599"/>
      <c r="BY165" s="599"/>
      <c r="BZ165" s="599"/>
      <c r="CA165" s="599"/>
      <c r="CB165" s="599"/>
      <c r="CC165" s="599"/>
      <c r="CD165" s="599"/>
      <c r="CE165" s="599"/>
      <c r="CF165" s="599"/>
      <c r="CG165" s="599"/>
      <c r="CH165" s="599"/>
      <c r="CI165" s="600"/>
      <c r="CJ165" s="601">
        <v>48580</v>
      </c>
      <c r="CK165" s="601"/>
      <c r="CL165" s="601"/>
      <c r="CM165" s="601"/>
      <c r="CN165" s="601"/>
      <c r="CO165" s="601"/>
      <c r="CP165" s="601"/>
      <c r="CQ165" s="601"/>
      <c r="CR165" s="601"/>
      <c r="CS165" s="601"/>
      <c r="CT165" s="601"/>
      <c r="CU165" s="601"/>
      <c r="CV165" s="601"/>
      <c r="CW165" s="601"/>
      <c r="CX165" s="601"/>
      <c r="CY165" s="601"/>
      <c r="CZ165" s="601"/>
      <c r="DA165" s="601"/>
    </row>
    <row r="166" spans="1:109" s="317" customFormat="1" ht="12.75" x14ac:dyDescent="0.25">
      <c r="A166" s="595" t="s">
        <v>409</v>
      </c>
      <c r="B166" s="595"/>
      <c r="C166" s="595"/>
      <c r="D166" s="595"/>
      <c r="E166" s="595"/>
      <c r="F166" s="595"/>
      <c r="G166" s="595"/>
      <c r="H166" s="653">
        <v>349</v>
      </c>
      <c r="I166" s="612"/>
      <c r="J166" s="612"/>
      <c r="K166" s="612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612"/>
      <c r="W166" s="612"/>
      <c r="X166" s="612"/>
      <c r="Y166" s="612"/>
      <c r="Z166" s="612"/>
      <c r="AA166" s="612"/>
      <c r="AB166" s="612"/>
      <c r="AC166" s="612"/>
      <c r="AD166" s="612"/>
      <c r="AE166" s="612"/>
      <c r="AF166" s="612"/>
      <c r="AG166" s="612"/>
      <c r="AH166" s="612"/>
      <c r="AI166" s="612"/>
      <c r="AJ166" s="612"/>
      <c r="AK166" s="612"/>
      <c r="AL166" s="612"/>
      <c r="AM166" s="612"/>
      <c r="AN166" s="612"/>
      <c r="AO166" s="612"/>
      <c r="AP166" s="612"/>
      <c r="AQ166" s="612"/>
      <c r="AR166" s="612"/>
      <c r="AS166" s="612"/>
      <c r="AT166" s="612"/>
      <c r="AU166" s="612"/>
      <c r="AV166" s="612"/>
      <c r="AW166" s="612"/>
      <c r="AX166" s="612"/>
      <c r="AY166" s="612"/>
      <c r="AZ166" s="612"/>
      <c r="BA166" s="612"/>
      <c r="BB166" s="612"/>
      <c r="BC166" s="613"/>
      <c r="BD166" s="597"/>
      <c r="BE166" s="597"/>
      <c r="BF166" s="597"/>
      <c r="BG166" s="597"/>
      <c r="BH166" s="597"/>
      <c r="BI166" s="597"/>
      <c r="BJ166" s="597"/>
      <c r="BK166" s="597"/>
      <c r="BL166" s="597"/>
      <c r="BM166" s="597"/>
      <c r="BN166" s="597"/>
      <c r="BO166" s="597"/>
      <c r="BP166" s="597"/>
      <c r="BQ166" s="597"/>
      <c r="BR166" s="597"/>
      <c r="BS166" s="597"/>
      <c r="BT166" s="597"/>
      <c r="BU166" s="597"/>
      <c r="BV166" s="597"/>
      <c r="BW166" s="597"/>
      <c r="BX166" s="597"/>
      <c r="BY166" s="597"/>
      <c r="BZ166" s="597"/>
      <c r="CA166" s="597"/>
      <c r="CB166" s="597"/>
      <c r="CC166" s="597"/>
      <c r="CD166" s="597"/>
      <c r="CE166" s="597"/>
      <c r="CF166" s="597"/>
      <c r="CG166" s="597"/>
      <c r="CH166" s="597"/>
      <c r="CI166" s="597"/>
      <c r="CJ166" s="601">
        <v>42944</v>
      </c>
      <c r="CK166" s="601"/>
      <c r="CL166" s="601"/>
      <c r="CM166" s="601"/>
      <c r="CN166" s="601"/>
      <c r="CO166" s="601"/>
      <c r="CP166" s="601"/>
      <c r="CQ166" s="601"/>
      <c r="CR166" s="601"/>
      <c r="CS166" s="601"/>
      <c r="CT166" s="601"/>
      <c r="CU166" s="601"/>
      <c r="CV166" s="601"/>
      <c r="CW166" s="601"/>
      <c r="CX166" s="601"/>
      <c r="CY166" s="601"/>
      <c r="CZ166" s="601"/>
      <c r="DA166" s="601"/>
    </row>
    <row r="167" spans="1:109" s="317" customFormat="1" ht="12.75" x14ac:dyDescent="0.25">
      <c r="A167" s="804" t="s">
        <v>418</v>
      </c>
      <c r="B167" s="805"/>
      <c r="C167" s="805"/>
      <c r="D167" s="805"/>
      <c r="E167" s="805"/>
      <c r="F167" s="805"/>
      <c r="G167" s="806"/>
      <c r="H167" s="653">
        <v>342</v>
      </c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2"/>
      <c r="W167" s="612"/>
      <c r="X167" s="612"/>
      <c r="Y167" s="612"/>
      <c r="Z167" s="612"/>
      <c r="AA167" s="612"/>
      <c r="AB167" s="612"/>
      <c r="AC167" s="612"/>
      <c r="AD167" s="612"/>
      <c r="AE167" s="612"/>
      <c r="AF167" s="612"/>
      <c r="AG167" s="612"/>
      <c r="AH167" s="612"/>
      <c r="AI167" s="612"/>
      <c r="AJ167" s="612"/>
      <c r="AK167" s="612"/>
      <c r="AL167" s="612"/>
      <c r="AM167" s="612"/>
      <c r="AN167" s="612"/>
      <c r="AO167" s="612"/>
      <c r="AP167" s="612"/>
      <c r="AQ167" s="612"/>
      <c r="AR167" s="612"/>
      <c r="AS167" s="612"/>
      <c r="AT167" s="612"/>
      <c r="AU167" s="612"/>
      <c r="AV167" s="612"/>
      <c r="AW167" s="612"/>
      <c r="AX167" s="612"/>
      <c r="AY167" s="612"/>
      <c r="AZ167" s="612"/>
      <c r="BA167" s="612"/>
      <c r="BB167" s="612"/>
      <c r="BC167" s="613"/>
      <c r="BD167" s="597"/>
      <c r="BE167" s="597"/>
      <c r="BF167" s="597"/>
      <c r="BG167" s="597"/>
      <c r="BH167" s="597"/>
      <c r="BI167" s="597"/>
      <c r="BJ167" s="597"/>
      <c r="BK167" s="597"/>
      <c r="BL167" s="597"/>
      <c r="BM167" s="597"/>
      <c r="BN167" s="597"/>
      <c r="BO167" s="597"/>
      <c r="BP167" s="597"/>
      <c r="BQ167" s="597"/>
      <c r="BR167" s="597"/>
      <c r="BS167" s="597"/>
      <c r="BT167" s="598"/>
      <c r="BU167" s="599"/>
      <c r="BV167" s="599"/>
      <c r="BW167" s="599"/>
      <c r="BX167" s="599"/>
      <c r="BY167" s="599"/>
      <c r="BZ167" s="599"/>
      <c r="CA167" s="599"/>
      <c r="CB167" s="599"/>
      <c r="CC167" s="599"/>
      <c r="CD167" s="599"/>
      <c r="CE167" s="599"/>
      <c r="CF167" s="599"/>
      <c r="CG167" s="599"/>
      <c r="CH167" s="599"/>
      <c r="CI167" s="600"/>
      <c r="CJ167" s="601">
        <v>1251441</v>
      </c>
      <c r="CK167" s="601"/>
      <c r="CL167" s="601"/>
      <c r="CM167" s="601"/>
      <c r="CN167" s="601"/>
      <c r="CO167" s="601"/>
      <c r="CP167" s="601"/>
      <c r="CQ167" s="601"/>
      <c r="CR167" s="601"/>
      <c r="CS167" s="601"/>
      <c r="CT167" s="601"/>
      <c r="CU167" s="601"/>
      <c r="CV167" s="601"/>
      <c r="CW167" s="601"/>
      <c r="CX167" s="601"/>
      <c r="CY167" s="601"/>
      <c r="CZ167" s="601"/>
      <c r="DA167" s="601"/>
    </row>
    <row r="168" spans="1:109" s="317" customFormat="1" ht="15" customHeight="1" x14ac:dyDescent="0.25">
      <c r="A168" s="595"/>
      <c r="B168" s="595"/>
      <c r="C168" s="595"/>
      <c r="D168" s="595"/>
      <c r="E168" s="595"/>
      <c r="F168" s="595"/>
      <c r="G168" s="595"/>
      <c r="H168" s="606" t="s">
        <v>610</v>
      </c>
      <c r="I168" s="606"/>
      <c r="J168" s="606"/>
      <c r="K168" s="606"/>
      <c r="L168" s="606"/>
      <c r="M168" s="606"/>
      <c r="N168" s="606"/>
      <c r="O168" s="606"/>
      <c r="P168" s="606"/>
      <c r="Q168" s="606"/>
      <c r="R168" s="606"/>
      <c r="S168" s="606"/>
      <c r="T168" s="606"/>
      <c r="U168" s="606"/>
      <c r="V168" s="606"/>
      <c r="W168" s="606"/>
      <c r="X168" s="606"/>
      <c r="Y168" s="606"/>
      <c r="Z168" s="606"/>
      <c r="AA168" s="606"/>
      <c r="AB168" s="606"/>
      <c r="AC168" s="606"/>
      <c r="AD168" s="606"/>
      <c r="AE168" s="606"/>
      <c r="AF168" s="606"/>
      <c r="AG168" s="606"/>
      <c r="AH168" s="606"/>
      <c r="AI168" s="606"/>
      <c r="AJ168" s="606"/>
      <c r="AK168" s="606"/>
      <c r="AL168" s="606"/>
      <c r="AM168" s="606"/>
      <c r="AN168" s="606"/>
      <c r="AO168" s="606"/>
      <c r="AP168" s="606"/>
      <c r="AQ168" s="606"/>
      <c r="AR168" s="606"/>
      <c r="AS168" s="606"/>
      <c r="AT168" s="606"/>
      <c r="AU168" s="606"/>
      <c r="AV168" s="606"/>
      <c r="AW168" s="606"/>
      <c r="AX168" s="606"/>
      <c r="AY168" s="606"/>
      <c r="AZ168" s="606"/>
      <c r="BA168" s="606"/>
      <c r="BB168" s="606"/>
      <c r="BC168" s="607"/>
      <c r="BD168" s="597" t="s">
        <v>487</v>
      </c>
      <c r="BE168" s="597"/>
      <c r="BF168" s="597"/>
      <c r="BG168" s="597"/>
      <c r="BH168" s="597"/>
      <c r="BI168" s="597"/>
      <c r="BJ168" s="597"/>
      <c r="BK168" s="597"/>
      <c r="BL168" s="597"/>
      <c r="BM168" s="597"/>
      <c r="BN168" s="597"/>
      <c r="BO168" s="597"/>
      <c r="BP168" s="597"/>
      <c r="BQ168" s="597"/>
      <c r="BR168" s="597"/>
      <c r="BS168" s="597"/>
      <c r="BT168" s="597" t="s">
        <v>487</v>
      </c>
      <c r="BU168" s="597"/>
      <c r="BV168" s="597"/>
      <c r="BW168" s="597"/>
      <c r="BX168" s="597"/>
      <c r="BY168" s="597"/>
      <c r="BZ168" s="597"/>
      <c r="CA168" s="597"/>
      <c r="CB168" s="597"/>
      <c r="CC168" s="597"/>
      <c r="CD168" s="597"/>
      <c r="CE168" s="597"/>
      <c r="CF168" s="597"/>
      <c r="CG168" s="597"/>
      <c r="CH168" s="597"/>
      <c r="CI168" s="597"/>
      <c r="CJ168" s="608">
        <f>CJ166+CJ167+CJ163+CJ164+CJ165</f>
        <v>2537800</v>
      </c>
      <c r="CK168" s="608"/>
      <c r="CL168" s="608"/>
      <c r="CM168" s="608"/>
      <c r="CN168" s="608"/>
      <c r="CO168" s="608"/>
      <c r="CP168" s="608"/>
      <c r="CQ168" s="608"/>
      <c r="CR168" s="608"/>
      <c r="CS168" s="608"/>
      <c r="CT168" s="608"/>
      <c r="CU168" s="608"/>
      <c r="CV168" s="608"/>
      <c r="CW168" s="608"/>
      <c r="CX168" s="608"/>
      <c r="CY168" s="608"/>
      <c r="CZ168" s="608"/>
      <c r="DA168" s="608"/>
    </row>
    <row r="170" spans="1:109" ht="12" customHeight="1" x14ac:dyDescent="0.25">
      <c r="DE170" s="327"/>
    </row>
    <row r="174" spans="1:109" ht="12" customHeight="1" x14ac:dyDescent="0.25">
      <c r="DE174" s="327">
        <f>CJ168+CJ156+CL146+CL138+CJ126+CJ117+CJ109+CJ97+CM87+BW75+CM69+BW57+CJ42+CM29+BW17+CJ9</f>
        <v>26363600</v>
      </c>
    </row>
    <row r="176" spans="1:109" ht="12" customHeight="1" x14ac:dyDescent="0.25">
      <c r="DE176" s="327">
        <f>DE174+'[1]Расчеты ГЗ'!DE120</f>
        <v>26363600</v>
      </c>
    </row>
  </sheetData>
  <mergeCells count="533">
    <mergeCell ref="A168:G168"/>
    <mergeCell ref="H168:BC168"/>
    <mergeCell ref="BD168:BS168"/>
    <mergeCell ref="BT168:CI168"/>
    <mergeCell ref="CJ168:DA168"/>
    <mergeCell ref="A166:G166"/>
    <mergeCell ref="H166:BC166"/>
    <mergeCell ref="BD166:BS166"/>
    <mergeCell ref="BT166:CI166"/>
    <mergeCell ref="CJ166:DA166"/>
    <mergeCell ref="A167:G167"/>
    <mergeCell ref="H167:BC167"/>
    <mergeCell ref="BD167:BS167"/>
    <mergeCell ref="BT167:CI167"/>
    <mergeCell ref="CJ167:DA167"/>
    <mergeCell ref="A164:G164"/>
    <mergeCell ref="H164:BC164"/>
    <mergeCell ref="BD164:BS164"/>
    <mergeCell ref="BT164:CI164"/>
    <mergeCell ref="CJ164:DA164"/>
    <mergeCell ref="A165:G165"/>
    <mergeCell ref="H165:BC165"/>
    <mergeCell ref="BD165:BS165"/>
    <mergeCell ref="BT165:CI165"/>
    <mergeCell ref="CJ165:DA165"/>
    <mergeCell ref="A162:G162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  <mergeCell ref="A158:DA158"/>
    <mergeCell ref="A161:G161"/>
    <mergeCell ref="H161:BC161"/>
    <mergeCell ref="BD161:BS161"/>
    <mergeCell ref="BT161:CI161"/>
    <mergeCell ref="CJ161:DA161"/>
    <mergeCell ref="A155:G155"/>
    <mergeCell ref="H155:BC155"/>
    <mergeCell ref="BD155:BS155"/>
    <mergeCell ref="BT155:CI155"/>
    <mergeCell ref="CJ155:DA155"/>
    <mergeCell ref="A156:G156"/>
    <mergeCell ref="H156:BC156"/>
    <mergeCell ref="BD156:BS156"/>
    <mergeCell ref="BT156:CI156"/>
    <mergeCell ref="CJ156:DA156"/>
    <mergeCell ref="A153:G153"/>
    <mergeCell ref="H153:BC153"/>
    <mergeCell ref="BD153:BS153"/>
    <mergeCell ref="BT153:CI153"/>
    <mergeCell ref="CJ153:DA153"/>
    <mergeCell ref="A154:G154"/>
    <mergeCell ref="H154:BC154"/>
    <mergeCell ref="BD154:BS154"/>
    <mergeCell ref="BT154:CI154"/>
    <mergeCell ref="CJ154:DA154"/>
    <mergeCell ref="A149:DA149"/>
    <mergeCell ref="A152:G152"/>
    <mergeCell ref="H152:BC152"/>
    <mergeCell ref="BD152:BS152"/>
    <mergeCell ref="BT152:CI152"/>
    <mergeCell ref="CJ152:DA152"/>
    <mergeCell ref="A146:G146"/>
    <mergeCell ref="H146:AO146"/>
    <mergeCell ref="AP146:BE146"/>
    <mergeCell ref="BF146:BU146"/>
    <mergeCell ref="BV146:CK146"/>
    <mergeCell ref="CL146:DA146"/>
    <mergeCell ref="A145:G145"/>
    <mergeCell ref="H145:AO145"/>
    <mergeCell ref="AP145:BE145"/>
    <mergeCell ref="BF145:BU145"/>
    <mergeCell ref="BV145:CK145"/>
    <mergeCell ref="CL145:DA145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40:DA140"/>
    <mergeCell ref="A142:G142"/>
    <mergeCell ref="H142:AO142"/>
    <mergeCell ref="AP142:BE142"/>
    <mergeCell ref="BF142:BU142"/>
    <mergeCell ref="BV142:CK142"/>
    <mergeCell ref="CL142:DA142"/>
    <mergeCell ref="A138:G138"/>
    <mergeCell ref="H138:AO138"/>
    <mergeCell ref="AP138:BE138"/>
    <mergeCell ref="BF138:BU138"/>
    <mergeCell ref="BV138:CK138"/>
    <mergeCell ref="CL138:DA138"/>
    <mergeCell ref="A136:G136"/>
    <mergeCell ref="H136:AO136"/>
    <mergeCell ref="AP136:BE136"/>
    <mergeCell ref="BF136:BU136"/>
    <mergeCell ref="BV136:CK136"/>
    <mergeCell ref="CL136:DA136"/>
    <mergeCell ref="A137:G137"/>
    <mergeCell ref="H137:AO137"/>
    <mergeCell ref="AP137:BE137"/>
    <mergeCell ref="BF137:BU137"/>
    <mergeCell ref="BV137:CK137"/>
    <mergeCell ref="CL137:DA137"/>
    <mergeCell ref="A135:G135"/>
    <mergeCell ref="H135:AO135"/>
    <mergeCell ref="AP135:BE135"/>
    <mergeCell ref="BF135:BU135"/>
    <mergeCell ref="BV135:CK135"/>
    <mergeCell ref="CL135:DA135"/>
    <mergeCell ref="A134:G134"/>
    <mergeCell ref="H134:AO134"/>
    <mergeCell ref="AP134:BE134"/>
    <mergeCell ref="BF134:BU134"/>
    <mergeCell ref="BV134:CK134"/>
    <mergeCell ref="CL134:DA134"/>
    <mergeCell ref="A133:G133"/>
    <mergeCell ref="H133:AO133"/>
    <mergeCell ref="AP133:BE133"/>
    <mergeCell ref="BF133:BU133"/>
    <mergeCell ref="BV133:CK133"/>
    <mergeCell ref="CL133:DA133"/>
    <mergeCell ref="A130:DA130"/>
    <mergeCell ref="A132:G132"/>
    <mergeCell ref="H132:AO132"/>
    <mergeCell ref="AP132:BE132"/>
    <mergeCell ref="BF132:BU132"/>
    <mergeCell ref="BV132:CK132"/>
    <mergeCell ref="CL132:DA132"/>
    <mergeCell ref="A125:G125"/>
    <mergeCell ref="H125:BC125"/>
    <mergeCell ref="BD125:BS125"/>
    <mergeCell ref="BT125:CI125"/>
    <mergeCell ref="CJ125:DA125"/>
    <mergeCell ref="A126:G126"/>
    <mergeCell ref="H126:BC126"/>
    <mergeCell ref="BD126:BS126"/>
    <mergeCell ref="BT126:CI126"/>
    <mergeCell ref="CJ126:DA126"/>
    <mergeCell ref="A123:G123"/>
    <mergeCell ref="H123:BC123"/>
    <mergeCell ref="BD123:BS123"/>
    <mergeCell ref="BT123:CI123"/>
    <mergeCell ref="CJ123:DA123"/>
    <mergeCell ref="A124:G124"/>
    <mergeCell ref="H124:BC124"/>
    <mergeCell ref="BD124:BS124"/>
    <mergeCell ref="BT124:CI124"/>
    <mergeCell ref="CJ124:DA124"/>
    <mergeCell ref="A119:DA119"/>
    <mergeCell ref="A122:G122"/>
    <mergeCell ref="H122:BC122"/>
    <mergeCell ref="BD122:BS122"/>
    <mergeCell ref="BT122:CI122"/>
    <mergeCell ref="CJ122:DA122"/>
    <mergeCell ref="A116:G116"/>
    <mergeCell ref="H116:BC116"/>
    <mergeCell ref="BD116:BS116"/>
    <mergeCell ref="BT116:CI116"/>
    <mergeCell ref="CJ116:DA116"/>
    <mergeCell ref="A117:G117"/>
    <mergeCell ref="H117:BC117"/>
    <mergeCell ref="BD117:BS117"/>
    <mergeCell ref="BT117:CI117"/>
    <mergeCell ref="CJ117:DA117"/>
    <mergeCell ref="A114:G114"/>
    <mergeCell ref="H114:BC114"/>
    <mergeCell ref="BD114:BS114"/>
    <mergeCell ref="BT114:CI114"/>
    <mergeCell ref="CJ114:DA114"/>
    <mergeCell ref="A115:G115"/>
    <mergeCell ref="H115:BC115"/>
    <mergeCell ref="BD115:BS115"/>
    <mergeCell ref="BT115:CI115"/>
    <mergeCell ref="CJ115:DA115"/>
    <mergeCell ref="A109:G109"/>
    <mergeCell ref="H109:BC109"/>
    <mergeCell ref="BD109:BS109"/>
    <mergeCell ref="BT109:CI109"/>
    <mergeCell ref="CJ109:DA109"/>
    <mergeCell ref="A111:DA111"/>
    <mergeCell ref="A107:G107"/>
    <mergeCell ref="H107:BC107"/>
    <mergeCell ref="BD107:BS107"/>
    <mergeCell ref="BT107:CI107"/>
    <mergeCell ref="CJ107:DA107"/>
    <mergeCell ref="A108:G108"/>
    <mergeCell ref="H108:BC108"/>
    <mergeCell ref="BD108:BS108"/>
    <mergeCell ref="BT108:CI108"/>
    <mergeCell ref="CJ108:DA108"/>
    <mergeCell ref="A105:G105"/>
    <mergeCell ref="H105:BC105"/>
    <mergeCell ref="BD105:BS105"/>
    <mergeCell ref="BT105:CI105"/>
    <mergeCell ref="CJ105:DA105"/>
    <mergeCell ref="A106:G106"/>
    <mergeCell ref="H106:BC106"/>
    <mergeCell ref="BD106:BS106"/>
    <mergeCell ref="BT106:CI106"/>
    <mergeCell ref="CJ106:DA106"/>
    <mergeCell ref="A99:DA99"/>
    <mergeCell ref="A101:DA101"/>
    <mergeCell ref="A104:G104"/>
    <mergeCell ref="H104:BC104"/>
    <mergeCell ref="BD104:BS104"/>
    <mergeCell ref="BT104:CI104"/>
    <mergeCell ref="CJ104:DA104"/>
    <mergeCell ref="A96:G96"/>
    <mergeCell ref="H96:BC96"/>
    <mergeCell ref="BD96:BS96"/>
    <mergeCell ref="BT96:CI96"/>
    <mergeCell ref="CJ96:DA96"/>
    <mergeCell ref="A97:G97"/>
    <mergeCell ref="H97:BC97"/>
    <mergeCell ref="BD97:BS97"/>
    <mergeCell ref="BT97:CI97"/>
    <mergeCell ref="CJ97:DA97"/>
    <mergeCell ref="A94:G94"/>
    <mergeCell ref="H94:BC94"/>
    <mergeCell ref="BD94:BS94"/>
    <mergeCell ref="BT94:CI94"/>
    <mergeCell ref="CJ94:DA94"/>
    <mergeCell ref="A95:G95"/>
    <mergeCell ref="H95:BC95"/>
    <mergeCell ref="BD95:BS95"/>
    <mergeCell ref="BT95:CI95"/>
    <mergeCell ref="CJ95:DA95"/>
    <mergeCell ref="A88:DA88"/>
    <mergeCell ref="A90:DA90"/>
    <mergeCell ref="A92:DB92"/>
    <mergeCell ref="A93:G93"/>
    <mergeCell ref="H93:BC93"/>
    <mergeCell ref="BD93:BS93"/>
    <mergeCell ref="BT93:CI93"/>
    <mergeCell ref="CJ93:DA93"/>
    <mergeCell ref="A86:F86"/>
    <mergeCell ref="H86:BV86"/>
    <mergeCell ref="BW86:CL86"/>
    <mergeCell ref="CM86:DA86"/>
    <mergeCell ref="A87:F87"/>
    <mergeCell ref="G87:BV87"/>
    <mergeCell ref="BW87:CL87"/>
    <mergeCell ref="CM87:DA87"/>
    <mergeCell ref="A84:F84"/>
    <mergeCell ref="H84:BV84"/>
    <mergeCell ref="BW84:CL84"/>
    <mergeCell ref="CM84:DA84"/>
    <mergeCell ref="A85:F85"/>
    <mergeCell ref="H85:BV85"/>
    <mergeCell ref="BW85:CL85"/>
    <mergeCell ref="CM85:DA85"/>
    <mergeCell ref="A82:F82"/>
    <mergeCell ref="H82:BV82"/>
    <mergeCell ref="BW82:CL82"/>
    <mergeCell ref="CM82:DA82"/>
    <mergeCell ref="A83:F83"/>
    <mergeCell ref="H83:BV83"/>
    <mergeCell ref="BW83:CL83"/>
    <mergeCell ref="CM83:DA83"/>
    <mergeCell ref="A79:F79"/>
    <mergeCell ref="H79:BV79"/>
    <mergeCell ref="BW79:CL79"/>
    <mergeCell ref="CM79:DA79"/>
    <mergeCell ref="A80:F81"/>
    <mergeCell ref="H80:BV80"/>
    <mergeCell ref="BW80:CL81"/>
    <mergeCell ref="CM80:DA81"/>
    <mergeCell ref="H81:BV81"/>
    <mergeCell ref="A77:F77"/>
    <mergeCell ref="H77:BV77"/>
    <mergeCell ref="BW77:CL77"/>
    <mergeCell ref="CM77:DA77"/>
    <mergeCell ref="A78:F78"/>
    <mergeCell ref="H78:BV78"/>
    <mergeCell ref="BW78:CL78"/>
    <mergeCell ref="CM78:DA78"/>
    <mergeCell ref="A74:F74"/>
    <mergeCell ref="H74:BV74"/>
    <mergeCell ref="BW74:CL74"/>
    <mergeCell ref="CM74:DA74"/>
    <mergeCell ref="A75:F76"/>
    <mergeCell ref="H75:BV75"/>
    <mergeCell ref="BW75:CL76"/>
    <mergeCell ref="CM75:DA76"/>
    <mergeCell ref="H76:BV76"/>
    <mergeCell ref="A70:DA70"/>
    <mergeCell ref="A72:F72"/>
    <mergeCell ref="G72:BV72"/>
    <mergeCell ref="BW72:CL72"/>
    <mergeCell ref="CM72:DA72"/>
    <mergeCell ref="A73:F73"/>
    <mergeCell ref="G73:BV73"/>
    <mergeCell ref="BW73:CL73"/>
    <mergeCell ref="CM73:DA73"/>
    <mergeCell ref="A68:F68"/>
    <mergeCell ref="H68:BV68"/>
    <mergeCell ref="BW68:CL68"/>
    <mergeCell ref="CM68:DA68"/>
    <mergeCell ref="A69:F69"/>
    <mergeCell ref="G69:BV69"/>
    <mergeCell ref="BW69:CL69"/>
    <mergeCell ref="CM69:DA69"/>
    <mergeCell ref="A66:F66"/>
    <mergeCell ref="H66:BV66"/>
    <mergeCell ref="BW66:CL66"/>
    <mergeCell ref="CM66:DA66"/>
    <mergeCell ref="A67:F67"/>
    <mergeCell ref="H67:BV67"/>
    <mergeCell ref="BW67:CL67"/>
    <mergeCell ref="CM67:DA67"/>
    <mergeCell ref="A64:F64"/>
    <mergeCell ref="H64:BV64"/>
    <mergeCell ref="BW64:CL64"/>
    <mergeCell ref="CM64:DA64"/>
    <mergeCell ref="A65:F65"/>
    <mergeCell ref="H65:BV65"/>
    <mergeCell ref="BW65:CL65"/>
    <mergeCell ref="CM65:DA65"/>
    <mergeCell ref="A61:F61"/>
    <mergeCell ref="H61:BV61"/>
    <mergeCell ref="BW61:CL61"/>
    <mergeCell ref="CM61:DA61"/>
    <mergeCell ref="A62:F63"/>
    <mergeCell ref="H62:BV62"/>
    <mergeCell ref="BW62:CL63"/>
    <mergeCell ref="CM62:DA63"/>
    <mergeCell ref="H63:BV63"/>
    <mergeCell ref="A59:F59"/>
    <mergeCell ref="H59:BV59"/>
    <mergeCell ref="BW59:CL59"/>
    <mergeCell ref="CM59:DA59"/>
    <mergeCell ref="A60:F60"/>
    <mergeCell ref="H60:BV60"/>
    <mergeCell ref="BW60:CL60"/>
    <mergeCell ref="CM60:DA60"/>
    <mergeCell ref="A56:F56"/>
    <mergeCell ref="H56:BV56"/>
    <mergeCell ref="BW56:CL56"/>
    <mergeCell ref="CM56:DA56"/>
    <mergeCell ref="A57:F58"/>
    <mergeCell ref="H57:BV57"/>
    <mergeCell ref="BW57:CL58"/>
    <mergeCell ref="CM57:DA58"/>
    <mergeCell ref="H58:BV58"/>
    <mergeCell ref="A54:F54"/>
    <mergeCell ref="G54:BV54"/>
    <mergeCell ref="BW54:CL54"/>
    <mergeCell ref="CM54:DA54"/>
    <mergeCell ref="A55:F55"/>
    <mergeCell ref="G55:BV55"/>
    <mergeCell ref="BW55:CL55"/>
    <mergeCell ref="CM55:DA55"/>
    <mergeCell ref="A50:G50"/>
    <mergeCell ref="H50:BC50"/>
    <mergeCell ref="BD50:BS50"/>
    <mergeCell ref="BT50:CI50"/>
    <mergeCell ref="CJ50:DA50"/>
    <mergeCell ref="A52:DA52"/>
    <mergeCell ref="A48:G48"/>
    <mergeCell ref="H48:BC48"/>
    <mergeCell ref="BD48:BS48"/>
    <mergeCell ref="BT48:CI48"/>
    <mergeCell ref="CJ48:DA48"/>
    <mergeCell ref="A49:G49"/>
    <mergeCell ref="H49:BC49"/>
    <mergeCell ref="BD49:BS49"/>
    <mergeCell ref="BT49:CI49"/>
    <mergeCell ref="CJ49:DA49"/>
    <mergeCell ref="A46:G46"/>
    <mergeCell ref="H46:BC46"/>
    <mergeCell ref="BD46:BS46"/>
    <mergeCell ref="BT46:CI46"/>
    <mergeCell ref="CJ46:DA46"/>
    <mergeCell ref="A47:G47"/>
    <mergeCell ref="H47:BC47"/>
    <mergeCell ref="BD47:BS47"/>
    <mergeCell ref="BT47:CI47"/>
    <mergeCell ref="CJ47:DA47"/>
    <mergeCell ref="A42:G42"/>
    <mergeCell ref="H42:BC42"/>
    <mergeCell ref="BD42:BS42"/>
    <mergeCell ref="BT42:CI42"/>
    <mergeCell ref="CJ42:DA42"/>
    <mergeCell ref="A44:DA44"/>
    <mergeCell ref="A40:G40"/>
    <mergeCell ref="H40:BC40"/>
    <mergeCell ref="BD40:BS40"/>
    <mergeCell ref="BT40:CI40"/>
    <mergeCell ref="CJ40:DA40"/>
    <mergeCell ref="A41:G41"/>
    <mergeCell ref="H41:BC41"/>
    <mergeCell ref="BD41:BS41"/>
    <mergeCell ref="BT41:CI41"/>
    <mergeCell ref="CJ41:DA41"/>
    <mergeCell ref="A38:G38"/>
    <mergeCell ref="H38:BC38"/>
    <mergeCell ref="BD38:BS38"/>
    <mergeCell ref="BT38:CI38"/>
    <mergeCell ref="CJ38:DA38"/>
    <mergeCell ref="A39:G39"/>
    <mergeCell ref="H39:BC39"/>
    <mergeCell ref="BD39:BS39"/>
    <mergeCell ref="BT39:CI39"/>
    <mergeCell ref="CJ39:DA39"/>
    <mergeCell ref="A36:G36"/>
    <mergeCell ref="H36:BC36"/>
    <mergeCell ref="BD36:BS36"/>
    <mergeCell ref="BT36:CI36"/>
    <mergeCell ref="CJ36:DA36"/>
    <mergeCell ref="A37:G37"/>
    <mergeCell ref="H37:BC37"/>
    <mergeCell ref="BD37:BS37"/>
    <mergeCell ref="BT37:CI37"/>
    <mergeCell ref="CJ37:DA37"/>
    <mergeCell ref="A34:G34"/>
    <mergeCell ref="H34:BC34"/>
    <mergeCell ref="BD34:BS34"/>
    <mergeCell ref="BT34:CI34"/>
    <mergeCell ref="CJ34:DA34"/>
    <mergeCell ref="A35:G35"/>
    <mergeCell ref="H35:BC35"/>
    <mergeCell ref="BD35:BS35"/>
    <mergeCell ref="BT35:CI35"/>
    <mergeCell ref="CJ35:DA35"/>
    <mergeCell ref="A31:DA31"/>
    <mergeCell ref="A33:G33"/>
    <mergeCell ref="H33:BC33"/>
    <mergeCell ref="BD33:BS33"/>
    <mergeCell ref="BT33:CI33"/>
    <mergeCell ref="CJ33:DA33"/>
    <mergeCell ref="A28:F28"/>
    <mergeCell ref="H28:BV28"/>
    <mergeCell ref="BW28:CL28"/>
    <mergeCell ref="CM28:DA28"/>
    <mergeCell ref="A29:F29"/>
    <mergeCell ref="G29:BV29"/>
    <mergeCell ref="BW29:CL29"/>
    <mergeCell ref="CM29:DA29"/>
    <mergeCell ref="A26:F26"/>
    <mergeCell ref="H26:BV26"/>
    <mergeCell ref="BW26:CL26"/>
    <mergeCell ref="CM26:DA26"/>
    <mergeCell ref="A27:F27"/>
    <mergeCell ref="H27:BV27"/>
    <mergeCell ref="BW27:CL27"/>
    <mergeCell ref="CM27:DA27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1"/>
    <mergeCell ref="H21:BV21"/>
    <mergeCell ref="BW21:CL21"/>
    <mergeCell ref="CM21:DA21"/>
    <mergeCell ref="A22:F23"/>
    <mergeCell ref="H22:BV22"/>
    <mergeCell ref="BW22:CL23"/>
    <mergeCell ref="CM22:DA23"/>
    <mergeCell ref="H23:BV23"/>
    <mergeCell ref="A19:F19"/>
    <mergeCell ref="H19:BV19"/>
    <mergeCell ref="BW19:CL19"/>
    <mergeCell ref="CM19:DA19"/>
    <mergeCell ref="A20:F20"/>
    <mergeCell ref="H20:BV20"/>
    <mergeCell ref="BW20:CL20"/>
    <mergeCell ref="CM20:DA20"/>
    <mergeCell ref="A16:F16"/>
    <mergeCell ref="H16:BV16"/>
    <mergeCell ref="BW16:CL16"/>
    <mergeCell ref="CM16:DA16"/>
    <mergeCell ref="A17:F18"/>
    <mergeCell ref="H17:BV17"/>
    <mergeCell ref="BW17:CL18"/>
    <mergeCell ref="CM17:DA18"/>
    <mergeCell ref="H18:BV18"/>
    <mergeCell ref="A12:DA12"/>
    <mergeCell ref="A14:F14"/>
    <mergeCell ref="G14:BV14"/>
    <mergeCell ref="BW14:CL14"/>
    <mergeCell ref="CM14:DA14"/>
    <mergeCell ref="A15:F15"/>
    <mergeCell ref="G15:BV15"/>
    <mergeCell ref="BW15:CL15"/>
    <mergeCell ref="CM15:DA15"/>
    <mergeCell ref="A9:F9"/>
    <mergeCell ref="G9:AD9"/>
    <mergeCell ref="AE9:AY9"/>
    <mergeCell ref="AZ9:BQ9"/>
    <mergeCell ref="BR9:CI9"/>
    <mergeCell ref="CJ9:DA9"/>
    <mergeCell ref="A8:F8"/>
    <mergeCell ref="G8:AD8"/>
    <mergeCell ref="AE8:AY8"/>
    <mergeCell ref="AZ8:BQ8"/>
    <mergeCell ref="BR8:CI8"/>
    <mergeCell ref="CJ8:DA8"/>
    <mergeCell ref="A3:DA3"/>
    <mergeCell ref="A5:F5"/>
    <mergeCell ref="G5:AD5"/>
    <mergeCell ref="AE5:AY5"/>
    <mergeCell ref="AZ5:BQ5"/>
    <mergeCell ref="BR5:CI5"/>
    <mergeCell ref="CJ5:DA5"/>
    <mergeCell ref="A7:F7"/>
    <mergeCell ref="G7:AD7"/>
    <mergeCell ref="AE7:AY7"/>
    <mergeCell ref="AZ7:BQ7"/>
    <mergeCell ref="BR7:CI7"/>
    <mergeCell ref="CJ7:DA7"/>
    <mergeCell ref="A6:F6"/>
    <mergeCell ref="G6:AD6"/>
    <mergeCell ref="AE6:AY6"/>
    <mergeCell ref="AZ6:BQ6"/>
    <mergeCell ref="BR6:CI6"/>
    <mergeCell ref="CJ6:DA6"/>
  </mergeCells>
  <phoneticPr fontId="54" type="noConversion"/>
  <pageMargins left="0.7" right="0.7" top="0.75" bottom="0.75" header="0.3" footer="0.3"/>
  <pageSetup paperSize="9" scale="98" orientation="portrait" r:id="rId1"/>
  <rowBreaks count="2" manualBreakCount="2">
    <brk id="98" max="104" man="1"/>
    <brk id="139" max="10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0.249977111117893"/>
  </sheetPr>
  <dimension ref="A1:G23"/>
  <sheetViews>
    <sheetView zoomScaleNormal="100" workbookViewId="0">
      <selection activeCell="CL134" sqref="CL134:DA134"/>
    </sheetView>
  </sheetViews>
  <sheetFormatPr defaultColWidth="9.140625" defaultRowHeight="15" x14ac:dyDescent="0.25"/>
  <cols>
    <col min="1" max="1" width="20.42578125" style="352" customWidth="1"/>
    <col min="2" max="2" width="12" style="352" customWidth="1"/>
    <col min="3" max="3" width="11.5703125" style="352" customWidth="1"/>
    <col min="4" max="4" width="11.7109375" style="352" customWidth="1"/>
    <col min="5" max="5" width="14.140625" style="352" customWidth="1"/>
    <col min="6" max="6" width="15" style="352" customWidth="1"/>
    <col min="7" max="8" width="15.85546875" style="352" customWidth="1"/>
    <col min="9" max="16384" width="9.140625" style="352"/>
  </cols>
  <sheetData>
    <row r="1" spans="1:7" x14ac:dyDescent="0.25">
      <c r="A1" s="369"/>
      <c r="B1" s="370"/>
      <c r="C1" s="370"/>
      <c r="D1" s="370"/>
      <c r="E1" s="370"/>
      <c r="F1" s="370"/>
      <c r="G1" s="370"/>
    </row>
    <row r="2" spans="1:7" s="371" customFormat="1" ht="28.5" customHeight="1" x14ac:dyDescent="0.25">
      <c r="A2" s="807" t="s">
        <v>769</v>
      </c>
      <c r="B2" s="807"/>
      <c r="C2" s="807"/>
      <c r="D2" s="807"/>
      <c r="E2" s="807"/>
      <c r="F2" s="807"/>
      <c r="G2" s="807"/>
    </row>
    <row r="3" spans="1:7" ht="63.75" x14ac:dyDescent="0.25">
      <c r="A3" s="372"/>
      <c r="B3" s="373" t="s">
        <v>83</v>
      </c>
      <c r="C3" s="374" t="s">
        <v>116</v>
      </c>
      <c r="D3" s="373" t="s">
        <v>84</v>
      </c>
      <c r="E3" s="373" t="s">
        <v>85</v>
      </c>
      <c r="F3" s="373" t="s">
        <v>82</v>
      </c>
      <c r="G3" s="373" t="s">
        <v>770</v>
      </c>
    </row>
    <row r="4" spans="1:7" x14ac:dyDescent="0.25">
      <c r="A4" s="372">
        <v>1</v>
      </c>
      <c r="B4" s="375">
        <v>2</v>
      </c>
      <c r="C4" s="376">
        <v>3</v>
      </c>
      <c r="D4" s="375">
        <v>4</v>
      </c>
      <c r="E4" s="375">
        <v>5</v>
      </c>
      <c r="F4" s="375">
        <v>6</v>
      </c>
      <c r="G4" s="377">
        <v>7</v>
      </c>
    </row>
    <row r="5" spans="1:7" ht="25.5" customHeight="1" x14ac:dyDescent="0.25">
      <c r="A5" s="808" t="s">
        <v>771</v>
      </c>
      <c r="B5" s="809"/>
      <c r="C5" s="809"/>
      <c r="D5" s="809"/>
      <c r="E5" s="809"/>
      <c r="F5" s="809"/>
      <c r="G5" s="810"/>
    </row>
    <row r="6" spans="1:7" x14ac:dyDescent="0.25">
      <c r="A6" s="378" t="s">
        <v>117</v>
      </c>
      <c r="B6" s="373"/>
      <c r="C6" s="374"/>
      <c r="D6" s="373"/>
      <c r="E6" s="379"/>
      <c r="F6" s="380"/>
      <c r="G6" s="380">
        <f>F6</f>
        <v>0</v>
      </c>
    </row>
    <row r="7" spans="1:7" ht="38.25" x14ac:dyDescent="0.25">
      <c r="A7" s="378" t="s">
        <v>118</v>
      </c>
      <c r="B7" s="373">
        <v>157</v>
      </c>
      <c r="C7" s="374">
        <v>11</v>
      </c>
      <c r="D7" s="373">
        <v>307</v>
      </c>
      <c r="E7" s="379">
        <f t="shared" ref="E7:E9" si="0">C7*D7</f>
        <v>3377</v>
      </c>
      <c r="F7" s="380">
        <f t="shared" ref="F7:F9" si="1">B7*E7</f>
        <v>530189</v>
      </c>
      <c r="G7" s="380">
        <f t="shared" ref="G7:G8" si="2">F7</f>
        <v>530189</v>
      </c>
    </row>
    <row r="8" spans="1:7" ht="38.25" x14ac:dyDescent="0.25">
      <c r="A8" s="378" t="s">
        <v>119</v>
      </c>
      <c r="B8" s="373">
        <v>107</v>
      </c>
      <c r="C8" s="374">
        <v>30</v>
      </c>
      <c r="D8" s="373">
        <v>307</v>
      </c>
      <c r="E8" s="379">
        <f t="shared" si="0"/>
        <v>9210</v>
      </c>
      <c r="F8" s="380">
        <f t="shared" si="1"/>
        <v>985470</v>
      </c>
      <c r="G8" s="380">
        <f t="shared" si="2"/>
        <v>985470</v>
      </c>
    </row>
    <row r="9" spans="1:7" ht="104.25" customHeight="1" x14ac:dyDescent="0.25">
      <c r="A9" s="381" t="s">
        <v>120</v>
      </c>
      <c r="B9" s="373">
        <v>53.5</v>
      </c>
      <c r="C9" s="374">
        <v>11</v>
      </c>
      <c r="D9" s="373">
        <v>307</v>
      </c>
      <c r="E9" s="379">
        <f t="shared" si="0"/>
        <v>3377</v>
      </c>
      <c r="F9" s="380">
        <f t="shared" si="1"/>
        <v>180669.5</v>
      </c>
      <c r="G9" s="30">
        <f>F9*0.5</f>
        <v>90334.75</v>
      </c>
    </row>
    <row r="10" spans="1:7" x14ac:dyDescent="0.25">
      <c r="A10" s="382" t="s">
        <v>115</v>
      </c>
      <c r="B10" s="383">
        <f>SUM(B6:B9)</f>
        <v>317.5</v>
      </c>
      <c r="C10" s="383">
        <f t="shared" ref="C10:G10" si="3">SUM(C6:C9)</f>
        <v>52</v>
      </c>
      <c r="D10" s="383">
        <f t="shared" si="3"/>
        <v>921</v>
      </c>
      <c r="E10" s="383">
        <f t="shared" si="3"/>
        <v>15964</v>
      </c>
      <c r="F10" s="383">
        <f t="shared" si="3"/>
        <v>1696328.5</v>
      </c>
      <c r="G10" s="383">
        <f t="shared" si="3"/>
        <v>1605993.75</v>
      </c>
    </row>
    <row r="12" spans="1:7" x14ac:dyDescent="0.25">
      <c r="A12" s="811" t="s">
        <v>772</v>
      </c>
      <c r="B12" s="811"/>
      <c r="C12" s="811"/>
      <c r="D12" s="811"/>
      <c r="E12" s="811"/>
      <c r="F12" s="811"/>
      <c r="G12" s="811"/>
    </row>
    <row r="13" spans="1:7" x14ac:dyDescent="0.25">
      <c r="A13" s="353"/>
      <c r="B13" s="353"/>
      <c r="C13" s="353"/>
      <c r="D13" s="353"/>
      <c r="E13" s="353"/>
      <c r="F13" s="353"/>
      <c r="G13" s="353"/>
    </row>
    <row r="14" spans="1:7" ht="51" x14ac:dyDescent="0.25">
      <c r="A14" s="372"/>
      <c r="B14" s="373" t="s">
        <v>82</v>
      </c>
      <c r="C14" s="374" t="s">
        <v>773</v>
      </c>
      <c r="D14" s="373" t="s">
        <v>774</v>
      </c>
      <c r="E14" s="373" t="s">
        <v>775</v>
      </c>
      <c r="F14" s="373" t="s">
        <v>776</v>
      </c>
    </row>
    <row r="15" spans="1:7" x14ac:dyDescent="0.25">
      <c r="A15" s="372">
        <v>1</v>
      </c>
      <c r="B15" s="373">
        <v>2</v>
      </c>
      <c r="C15" s="374">
        <v>3</v>
      </c>
      <c r="D15" s="373">
        <v>4</v>
      </c>
      <c r="E15" s="373">
        <v>5</v>
      </c>
      <c r="F15" s="373">
        <v>6</v>
      </c>
    </row>
    <row r="16" spans="1:7" x14ac:dyDescent="0.25">
      <c r="A16" s="372"/>
      <c r="B16" s="384">
        <f>E16*F16</f>
        <v>609502.41</v>
      </c>
      <c r="C16" s="385">
        <f>E16/D16</f>
        <v>32.01</v>
      </c>
      <c r="D16" s="373">
        <v>300</v>
      </c>
      <c r="E16" s="373">
        <v>9603</v>
      </c>
      <c r="F16" s="384" t="s">
        <v>782</v>
      </c>
    </row>
    <row r="18" spans="1:7" x14ac:dyDescent="0.25">
      <c r="A18" s="811" t="s">
        <v>777</v>
      </c>
      <c r="B18" s="811"/>
      <c r="C18" s="811"/>
      <c r="D18" s="811"/>
      <c r="E18" s="811"/>
      <c r="F18" s="811"/>
      <c r="G18" s="811"/>
    </row>
    <row r="19" spans="1:7" x14ac:dyDescent="0.25">
      <c r="A19" s="353"/>
      <c r="B19" s="353"/>
      <c r="C19" s="353"/>
      <c r="D19" s="353"/>
      <c r="E19" s="353"/>
      <c r="F19" s="353"/>
    </row>
    <row r="20" spans="1:7" ht="76.5" x14ac:dyDescent="0.25">
      <c r="A20" s="372"/>
      <c r="B20" s="373" t="s">
        <v>82</v>
      </c>
      <c r="C20" s="374" t="s">
        <v>778</v>
      </c>
      <c r="D20" s="373" t="s">
        <v>779</v>
      </c>
      <c r="E20" s="373" t="s">
        <v>780</v>
      </c>
      <c r="F20" s="373" t="s">
        <v>776</v>
      </c>
    </row>
    <row r="21" spans="1:7" x14ac:dyDescent="0.25">
      <c r="A21" s="372" t="s">
        <v>781</v>
      </c>
      <c r="B21" s="384" t="s">
        <v>783</v>
      </c>
      <c r="C21" s="385">
        <f>E21/D21</f>
        <v>40.878787878787875</v>
      </c>
      <c r="D21" s="373">
        <v>132</v>
      </c>
      <c r="E21" s="373">
        <v>5396</v>
      </c>
      <c r="F21" s="380">
        <f>B21/E21</f>
        <v>75.610769088213502</v>
      </c>
    </row>
    <row r="23" spans="1:7" x14ac:dyDescent="0.25">
      <c r="A23" s="386"/>
    </row>
  </sheetData>
  <mergeCells count="4">
    <mergeCell ref="A2:G2"/>
    <mergeCell ref="A5:G5"/>
    <mergeCell ref="A12:G12"/>
    <mergeCell ref="A18:G18"/>
  </mergeCells>
  <pageMargins left="0.7" right="0.7" top="0.75" bottom="0.75" header="0.3" footer="0.3"/>
  <pageSetup paperSize="9" scale="85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249977111117893"/>
  </sheetPr>
  <dimension ref="A1:I40"/>
  <sheetViews>
    <sheetView workbookViewId="0">
      <selection activeCell="CL134" sqref="CL134:DA134"/>
    </sheetView>
  </sheetViews>
  <sheetFormatPr defaultColWidth="9.140625" defaultRowHeight="15" x14ac:dyDescent="0.25"/>
  <cols>
    <col min="1" max="1" width="17.7109375" style="352" customWidth="1"/>
    <col min="2" max="2" width="10.5703125" style="352" customWidth="1"/>
    <col min="3" max="4" width="21.7109375" style="352" customWidth="1"/>
    <col min="5" max="5" width="19.85546875" style="352" customWidth="1"/>
    <col min="6" max="6" width="10.5703125" style="352" customWidth="1"/>
    <col min="7" max="7" width="23.28515625" style="352" customWidth="1"/>
    <col min="8" max="8" width="8.85546875" style="352" customWidth="1"/>
    <col min="9" max="9" width="17.28515625" style="352" customWidth="1"/>
    <col min="10" max="16384" width="9.140625" style="352"/>
  </cols>
  <sheetData>
    <row r="1" spans="1:9" x14ac:dyDescent="0.25">
      <c r="A1" s="817" t="s">
        <v>14</v>
      </c>
      <c r="B1" s="817"/>
      <c r="C1" s="817"/>
      <c r="D1" s="817"/>
      <c r="E1" s="817"/>
      <c r="F1" s="817"/>
      <c r="G1" s="351"/>
      <c r="H1" s="351"/>
      <c r="I1" s="351"/>
    </row>
    <row r="2" spans="1:9" x14ac:dyDescent="0.25">
      <c r="A2" s="353"/>
      <c r="B2" s="353"/>
      <c r="C2" s="353"/>
      <c r="D2" s="353"/>
      <c r="E2" s="353"/>
      <c r="F2" s="353"/>
      <c r="G2" s="353"/>
      <c r="H2" s="353"/>
      <c r="I2" s="353"/>
    </row>
    <row r="3" spans="1:9" x14ac:dyDescent="0.25">
      <c r="A3" s="354"/>
      <c r="B3" s="814" t="s">
        <v>730</v>
      </c>
      <c r="C3" s="814"/>
      <c r="D3" s="814"/>
    </row>
    <row r="4" spans="1:9" ht="31.5" customHeight="1" x14ac:dyDescent="0.25">
      <c r="A4" s="354"/>
      <c r="B4" s="814" t="s">
        <v>731</v>
      </c>
      <c r="C4" s="814"/>
      <c r="D4" s="728" t="s">
        <v>732</v>
      </c>
    </row>
    <row r="5" spans="1:9" x14ac:dyDescent="0.25">
      <c r="A5" s="354"/>
      <c r="B5" s="355" t="s">
        <v>733</v>
      </c>
      <c r="C5" s="355" t="s">
        <v>17</v>
      </c>
      <c r="D5" s="728"/>
    </row>
    <row r="6" spans="1:9" x14ac:dyDescent="0.25">
      <c r="A6" s="354" t="s">
        <v>19</v>
      </c>
      <c r="B6" s="354">
        <v>11</v>
      </c>
      <c r="C6" s="354">
        <v>1</v>
      </c>
      <c r="D6" s="354">
        <v>383612.88</v>
      </c>
    </row>
    <row r="7" spans="1:9" x14ac:dyDescent="0.25">
      <c r="A7" s="353"/>
      <c r="B7" s="353"/>
      <c r="C7" s="353"/>
      <c r="D7" s="353"/>
      <c r="E7" s="353"/>
      <c r="F7" s="353"/>
      <c r="G7" s="353"/>
      <c r="H7" s="353"/>
      <c r="I7" s="353"/>
    </row>
    <row r="8" spans="1:9" x14ac:dyDescent="0.25">
      <c r="A8" s="812" t="s">
        <v>734</v>
      </c>
      <c r="B8" s="812"/>
      <c r="C8" s="812"/>
      <c r="D8" s="812"/>
      <c r="E8" s="812"/>
      <c r="F8" s="353"/>
      <c r="G8" s="353"/>
      <c r="H8" s="353"/>
      <c r="I8" s="353"/>
    </row>
    <row r="9" spans="1:9" ht="27" customHeight="1" x14ac:dyDescent="0.25">
      <c r="A9" s="814" t="s">
        <v>731</v>
      </c>
      <c r="B9" s="814"/>
      <c r="C9" s="354"/>
      <c r="D9" s="728" t="s">
        <v>732</v>
      </c>
      <c r="E9" s="728" t="s">
        <v>735</v>
      </c>
      <c r="F9" s="353"/>
      <c r="G9" s="353"/>
      <c r="H9" s="353"/>
      <c r="I9" s="353"/>
    </row>
    <row r="10" spans="1:9" ht="30" x14ac:dyDescent="0.25">
      <c r="A10" s="355" t="s">
        <v>733</v>
      </c>
      <c r="B10" s="355" t="s">
        <v>17</v>
      </c>
      <c r="C10" s="355" t="s">
        <v>736</v>
      </c>
      <c r="D10" s="728"/>
      <c r="E10" s="728"/>
      <c r="F10" s="353"/>
      <c r="G10" s="353"/>
      <c r="H10" s="353"/>
      <c r="I10" s="353"/>
    </row>
    <row r="11" spans="1:9" x14ac:dyDescent="0.25">
      <c r="A11" s="354">
        <v>11</v>
      </c>
      <c r="B11" s="354">
        <v>5</v>
      </c>
      <c r="C11" s="354" t="s">
        <v>737</v>
      </c>
      <c r="D11" s="354">
        <v>674597.13</v>
      </c>
      <c r="E11" s="356">
        <v>891000</v>
      </c>
      <c r="F11" s="353"/>
      <c r="G11" s="353"/>
      <c r="H11" s="353"/>
      <c r="I11" s="353"/>
    </row>
    <row r="12" spans="1:9" x14ac:dyDescent="0.25">
      <c r="A12" s="353"/>
      <c r="B12" s="353"/>
      <c r="C12" s="353"/>
      <c r="D12" s="353"/>
      <c r="E12" s="353"/>
      <c r="F12" s="353"/>
      <c r="G12" s="353"/>
      <c r="H12" s="353"/>
      <c r="I12" s="353"/>
    </row>
    <row r="13" spans="1:9" x14ac:dyDescent="0.25">
      <c r="A13" s="353"/>
      <c r="B13" s="353"/>
      <c r="C13" s="353"/>
      <c r="D13" s="353"/>
      <c r="E13" s="353"/>
      <c r="F13" s="353"/>
      <c r="G13" s="353"/>
      <c r="H13" s="353"/>
      <c r="I13" s="353"/>
    </row>
    <row r="14" spans="1:9" x14ac:dyDescent="0.25">
      <c r="A14" s="353"/>
      <c r="B14" s="353"/>
      <c r="C14" s="353"/>
      <c r="D14" s="353"/>
      <c r="E14" s="353"/>
      <c r="F14" s="353"/>
      <c r="G14" s="353"/>
      <c r="H14" s="353"/>
      <c r="I14" s="353"/>
    </row>
    <row r="15" spans="1:9" x14ac:dyDescent="0.25">
      <c r="A15" s="815"/>
      <c r="B15" s="789" t="s">
        <v>738</v>
      </c>
      <c r="C15" s="813"/>
      <c r="D15" s="813"/>
      <c r="E15" s="790"/>
      <c r="F15" s="353"/>
      <c r="G15" s="353"/>
      <c r="H15" s="353"/>
      <c r="I15" s="353"/>
    </row>
    <row r="16" spans="1:9" ht="27" customHeight="1" x14ac:dyDescent="0.25">
      <c r="A16" s="816"/>
      <c r="B16" s="814" t="s">
        <v>731</v>
      </c>
      <c r="C16" s="814"/>
      <c r="D16" s="354"/>
      <c r="E16" s="728" t="s">
        <v>732</v>
      </c>
      <c r="F16" s="353"/>
      <c r="G16" s="353"/>
      <c r="H16" s="353"/>
      <c r="I16" s="353"/>
    </row>
    <row r="17" spans="1:9" ht="30" x14ac:dyDescent="0.25">
      <c r="A17" s="354"/>
      <c r="B17" s="355" t="s">
        <v>733</v>
      </c>
      <c r="C17" s="355" t="s">
        <v>17</v>
      </c>
      <c r="D17" s="355" t="s">
        <v>736</v>
      </c>
      <c r="E17" s="728"/>
      <c r="F17" s="353"/>
      <c r="G17" s="353"/>
      <c r="H17" s="353"/>
      <c r="I17" s="353"/>
    </row>
    <row r="18" spans="1:9" x14ac:dyDescent="0.25">
      <c r="A18" s="354" t="s">
        <v>19</v>
      </c>
      <c r="B18" s="354">
        <v>18</v>
      </c>
      <c r="C18" s="354">
        <v>10</v>
      </c>
      <c r="D18" s="354" t="s">
        <v>737</v>
      </c>
      <c r="E18" s="356">
        <f>28*45000</f>
        <v>1260000</v>
      </c>
      <c r="F18" s="353"/>
      <c r="G18" s="353"/>
      <c r="H18" s="353"/>
      <c r="I18" s="353"/>
    </row>
    <row r="19" spans="1:9" x14ac:dyDescent="0.25">
      <c r="A19" s="353"/>
      <c r="B19" s="353"/>
      <c r="C19" s="353"/>
      <c r="D19" s="353"/>
      <c r="E19" s="353"/>
      <c r="F19" s="353"/>
      <c r="G19" s="353"/>
      <c r="H19" s="353"/>
      <c r="I19" s="353"/>
    </row>
    <row r="20" spans="1:9" x14ac:dyDescent="0.25">
      <c r="A20" s="815"/>
      <c r="B20" s="789" t="s">
        <v>3</v>
      </c>
      <c r="C20" s="813"/>
      <c r="D20" s="813"/>
      <c r="E20" s="790"/>
    </row>
    <row r="21" spans="1:9" ht="25.5" customHeight="1" x14ac:dyDescent="0.25">
      <c r="A21" s="816"/>
      <c r="B21" s="814" t="s">
        <v>731</v>
      </c>
      <c r="C21" s="814"/>
      <c r="D21" s="354"/>
      <c r="E21" s="728" t="s">
        <v>732</v>
      </c>
    </row>
    <row r="22" spans="1:9" ht="30" x14ac:dyDescent="0.25">
      <c r="A22" s="354"/>
      <c r="B22" s="355" t="s">
        <v>733</v>
      </c>
      <c r="C22" s="355" t="s">
        <v>17</v>
      </c>
      <c r="D22" s="355" t="s">
        <v>736</v>
      </c>
      <c r="E22" s="728"/>
    </row>
    <row r="23" spans="1:9" x14ac:dyDescent="0.25">
      <c r="A23" s="354" t="s">
        <v>19</v>
      </c>
      <c r="B23" s="354">
        <v>20</v>
      </c>
      <c r="C23" s="354">
        <v>10</v>
      </c>
      <c r="D23" s="354" t="s">
        <v>737</v>
      </c>
      <c r="E23" s="356">
        <f>30*45000</f>
        <v>1350000</v>
      </c>
    </row>
    <row r="24" spans="1:9" x14ac:dyDescent="0.25">
      <c r="A24" s="353"/>
      <c r="B24" s="353"/>
      <c r="C24" s="353"/>
      <c r="D24" s="353"/>
    </row>
    <row r="25" spans="1:9" x14ac:dyDescent="0.25">
      <c r="A25" s="353"/>
      <c r="B25" s="353"/>
      <c r="C25" s="353"/>
      <c r="D25" s="353"/>
    </row>
    <row r="26" spans="1:9" x14ac:dyDescent="0.25">
      <c r="A26" s="812"/>
      <c r="B26" s="789" t="s">
        <v>5</v>
      </c>
      <c r="C26" s="813"/>
      <c r="D26" s="813"/>
      <c r="E26" s="790"/>
    </row>
    <row r="27" spans="1:9" ht="30" customHeight="1" x14ac:dyDescent="0.25">
      <c r="A27" s="812"/>
      <c r="B27" s="814" t="s">
        <v>731</v>
      </c>
      <c r="C27" s="814"/>
      <c r="D27" s="354"/>
      <c r="E27" s="728" t="s">
        <v>732</v>
      </c>
    </row>
    <row r="28" spans="1:9" ht="27.75" customHeight="1" x14ac:dyDescent="0.25">
      <c r="A28" s="354"/>
      <c r="B28" s="355" t="s">
        <v>733</v>
      </c>
      <c r="C28" s="355" t="s">
        <v>17</v>
      </c>
      <c r="D28" s="355" t="s">
        <v>736</v>
      </c>
      <c r="E28" s="728"/>
    </row>
    <row r="29" spans="1:9" x14ac:dyDescent="0.25">
      <c r="A29" s="354" t="s">
        <v>19</v>
      </c>
      <c r="B29" s="354">
        <v>18</v>
      </c>
      <c r="C29" s="354">
        <v>8</v>
      </c>
      <c r="D29" s="354" t="s">
        <v>737</v>
      </c>
      <c r="E29" s="356">
        <f>26*45000</f>
        <v>1170000</v>
      </c>
    </row>
    <row r="30" spans="1:9" x14ac:dyDescent="0.25">
      <c r="A30" s="353"/>
      <c r="B30" s="353"/>
      <c r="C30" s="353"/>
      <c r="D30" s="353"/>
      <c r="E30" s="353"/>
      <c r="F30" s="353"/>
      <c r="G30" s="353"/>
      <c r="H30" s="353"/>
      <c r="I30" s="353"/>
    </row>
    <row r="31" spans="1:9" x14ac:dyDescent="0.25">
      <c r="A31" s="353"/>
      <c r="B31" s="353"/>
      <c r="C31" s="353"/>
      <c r="D31" s="353"/>
      <c r="E31" s="353"/>
      <c r="F31" s="353"/>
      <c r="G31" s="353"/>
      <c r="H31" s="353"/>
      <c r="I31" s="353"/>
    </row>
    <row r="32" spans="1:9" x14ac:dyDescent="0.25">
      <c r="A32" s="353"/>
      <c r="B32" s="353"/>
      <c r="C32" s="353"/>
      <c r="D32" s="353"/>
      <c r="E32" s="353"/>
      <c r="F32" s="353"/>
      <c r="G32" s="353"/>
      <c r="H32" s="353"/>
      <c r="I32" s="353"/>
    </row>
    <row r="33" spans="1:9" x14ac:dyDescent="0.25">
      <c r="A33" s="353"/>
      <c r="B33" s="353"/>
      <c r="C33" s="353"/>
      <c r="D33" s="353"/>
      <c r="E33" s="353"/>
      <c r="F33" s="353"/>
      <c r="G33" s="353"/>
      <c r="H33" s="353"/>
      <c r="I33" s="353"/>
    </row>
    <row r="34" spans="1:9" x14ac:dyDescent="0.25">
      <c r="A34" s="353"/>
      <c r="B34" s="353"/>
      <c r="C34" s="353"/>
      <c r="D34" s="353"/>
      <c r="E34" s="353"/>
      <c r="F34" s="353"/>
      <c r="G34" s="353"/>
      <c r="H34" s="353"/>
      <c r="I34" s="353"/>
    </row>
    <row r="35" spans="1:9" x14ac:dyDescent="0.25">
      <c r="A35" s="353"/>
      <c r="B35" s="353"/>
      <c r="C35" s="353"/>
      <c r="D35" s="353"/>
      <c r="E35" s="353"/>
      <c r="F35" s="353"/>
      <c r="G35" s="353"/>
      <c r="H35" s="353"/>
      <c r="I35" s="353"/>
    </row>
    <row r="36" spans="1:9" x14ac:dyDescent="0.25">
      <c r="A36" s="353"/>
      <c r="B36" s="353"/>
      <c r="C36" s="353"/>
      <c r="D36" s="353"/>
      <c r="E36" s="353"/>
      <c r="F36" s="353"/>
      <c r="G36" s="353"/>
      <c r="H36" s="353"/>
      <c r="I36" s="353"/>
    </row>
    <row r="37" spans="1:9" x14ac:dyDescent="0.25">
      <c r="A37" s="353"/>
      <c r="B37" s="353"/>
      <c r="C37" s="353"/>
      <c r="D37" s="353"/>
      <c r="E37" s="353"/>
      <c r="F37" s="353"/>
      <c r="G37" s="353"/>
      <c r="H37" s="353"/>
      <c r="I37" s="353"/>
    </row>
    <row r="38" spans="1:9" x14ac:dyDescent="0.25">
      <c r="A38" s="353"/>
      <c r="B38" s="353"/>
      <c r="C38" s="353"/>
      <c r="D38" s="353"/>
      <c r="E38" s="353"/>
      <c r="F38" s="353"/>
      <c r="G38" s="353"/>
      <c r="H38" s="353"/>
      <c r="I38" s="353"/>
    </row>
    <row r="39" spans="1:9" x14ac:dyDescent="0.25">
      <c r="A39" s="353"/>
      <c r="B39" s="353"/>
      <c r="C39" s="353"/>
      <c r="D39" s="353"/>
      <c r="E39" s="353"/>
      <c r="F39" s="353"/>
      <c r="G39" s="353"/>
      <c r="H39" s="353"/>
      <c r="I39" s="353"/>
    </row>
    <row r="40" spans="1:9" x14ac:dyDescent="0.25">
      <c r="A40" s="353"/>
      <c r="B40" s="353"/>
      <c r="C40" s="353"/>
      <c r="D40" s="353"/>
      <c r="E40" s="353"/>
      <c r="F40" s="353"/>
      <c r="G40" s="353"/>
      <c r="H40" s="353"/>
      <c r="I40" s="353"/>
    </row>
  </sheetData>
  <mergeCells count="20">
    <mergeCell ref="A9:B9"/>
    <mergeCell ref="D9:D10"/>
    <mergeCell ref="E9:E10"/>
    <mergeCell ref="A1:F1"/>
    <mergeCell ref="B3:D3"/>
    <mergeCell ref="B4:C4"/>
    <mergeCell ref="D4:D5"/>
    <mergeCell ref="A8:E8"/>
    <mergeCell ref="A26:A27"/>
    <mergeCell ref="B26:E26"/>
    <mergeCell ref="B27:C27"/>
    <mergeCell ref="E27:E28"/>
    <mergeCell ref="A15:A16"/>
    <mergeCell ref="B15:E15"/>
    <mergeCell ref="B16:C16"/>
    <mergeCell ref="E16:E17"/>
    <mergeCell ref="A20:A21"/>
    <mergeCell ref="B20:E20"/>
    <mergeCell ref="B21:C21"/>
    <mergeCell ref="E21:E2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249977111117893"/>
  </sheetPr>
  <dimension ref="A1:AA36"/>
  <sheetViews>
    <sheetView workbookViewId="0">
      <selection activeCell="CL134" sqref="CL134:DA134"/>
    </sheetView>
  </sheetViews>
  <sheetFormatPr defaultColWidth="9.140625" defaultRowHeight="15" x14ac:dyDescent="0.25"/>
  <cols>
    <col min="1" max="1" width="32.28515625" style="353" customWidth="1"/>
    <col min="2" max="2" width="9.140625" style="353"/>
    <col min="3" max="3" width="9.140625" style="353" bestFit="1" customWidth="1"/>
    <col min="4" max="4" width="9.28515625" style="353" bestFit="1" customWidth="1"/>
    <col min="5" max="5" width="13.5703125" style="353" customWidth="1"/>
    <col min="6" max="8" width="9.140625" style="353"/>
    <col min="9" max="9" width="10.28515625" style="353" customWidth="1"/>
    <col min="10" max="12" width="9.140625" style="353"/>
    <col min="13" max="13" width="12.85546875" style="353" customWidth="1"/>
    <col min="14" max="16" width="9.140625" style="353"/>
    <col min="17" max="17" width="10.28515625" style="353" customWidth="1"/>
    <col min="18" max="25" width="0" style="353" hidden="1" customWidth="1"/>
    <col min="26" max="16384" width="9.140625" style="353"/>
  </cols>
  <sheetData>
    <row r="1" spans="1:25" x14ac:dyDescent="0.25">
      <c r="A1" s="817" t="s">
        <v>99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</row>
    <row r="3" spans="1:25" x14ac:dyDescent="0.25">
      <c r="A3" s="818"/>
      <c r="B3" s="822" t="s">
        <v>739</v>
      </c>
      <c r="C3" s="822"/>
      <c r="D3" s="822"/>
      <c r="E3" s="822"/>
      <c r="F3" s="822" t="s">
        <v>740</v>
      </c>
      <c r="G3" s="822"/>
      <c r="H3" s="822"/>
      <c r="I3" s="822"/>
      <c r="J3" s="823" t="s">
        <v>714</v>
      </c>
      <c r="K3" s="823"/>
      <c r="L3" s="823"/>
      <c r="M3" s="823"/>
      <c r="N3" s="823" t="s">
        <v>741</v>
      </c>
      <c r="O3" s="823"/>
      <c r="P3" s="823"/>
      <c r="Q3" s="823"/>
      <c r="R3" s="823" t="s">
        <v>742</v>
      </c>
      <c r="S3" s="823"/>
      <c r="T3" s="823"/>
      <c r="U3" s="823"/>
      <c r="V3" s="823" t="s">
        <v>743</v>
      </c>
      <c r="W3" s="823"/>
      <c r="X3" s="823"/>
      <c r="Y3" s="823"/>
    </row>
    <row r="4" spans="1:25" ht="25.5" x14ac:dyDescent="0.25">
      <c r="A4" s="819"/>
      <c r="B4" s="357" t="s">
        <v>44</v>
      </c>
      <c r="C4" s="358" t="s">
        <v>45</v>
      </c>
      <c r="D4" s="359" t="s">
        <v>40</v>
      </c>
      <c r="E4" s="360" t="s">
        <v>41</v>
      </c>
      <c r="F4" s="357" t="s">
        <v>44</v>
      </c>
      <c r="G4" s="358" t="s">
        <v>45</v>
      </c>
      <c r="H4" s="360" t="s">
        <v>40</v>
      </c>
      <c r="I4" s="360" t="s">
        <v>41</v>
      </c>
      <c r="J4" s="357" t="s">
        <v>44</v>
      </c>
      <c r="K4" s="358" t="s">
        <v>45</v>
      </c>
      <c r="L4" s="361" t="s">
        <v>40</v>
      </c>
      <c r="M4" s="360" t="s">
        <v>41</v>
      </c>
      <c r="N4" s="357" t="s">
        <v>44</v>
      </c>
      <c r="O4" s="358" t="s">
        <v>45</v>
      </c>
      <c r="P4" s="361" t="s">
        <v>40</v>
      </c>
      <c r="Q4" s="360" t="s">
        <v>41</v>
      </c>
      <c r="R4" s="357" t="s">
        <v>44</v>
      </c>
      <c r="S4" s="358" t="s">
        <v>45</v>
      </c>
      <c r="T4" s="361" t="s">
        <v>40</v>
      </c>
      <c r="U4" s="360" t="s">
        <v>41</v>
      </c>
      <c r="V4" s="357" t="s">
        <v>44</v>
      </c>
      <c r="W4" s="358" t="s">
        <v>45</v>
      </c>
      <c r="X4" s="361" t="s">
        <v>40</v>
      </c>
      <c r="Y4" s="360" t="s">
        <v>41</v>
      </c>
    </row>
    <row r="5" spans="1:25" x14ac:dyDescent="0.25">
      <c r="A5" s="354" t="s">
        <v>767</v>
      </c>
      <c r="B5" s="354" t="s">
        <v>100</v>
      </c>
      <c r="C5" s="365">
        <v>19612</v>
      </c>
      <c r="D5" s="362">
        <v>52.94</v>
      </c>
      <c r="E5" s="356">
        <f>C5*D5</f>
        <v>1038259.2799999999</v>
      </c>
      <c r="F5" s="354" t="s">
        <v>745</v>
      </c>
      <c r="G5" s="366"/>
      <c r="H5" s="354"/>
      <c r="I5" s="354"/>
      <c r="J5" s="354" t="s">
        <v>101</v>
      </c>
      <c r="K5" s="356">
        <v>670</v>
      </c>
      <c r="L5" s="356">
        <v>16878.86</v>
      </c>
      <c r="M5" s="356">
        <f>K5*L5</f>
        <v>11308836.200000001</v>
      </c>
      <c r="N5" s="354" t="s">
        <v>103</v>
      </c>
      <c r="O5" s="356">
        <v>25</v>
      </c>
      <c r="P5" s="356">
        <v>1400</v>
      </c>
      <c r="Q5" s="356">
        <f>O5*P5</f>
        <v>35000</v>
      </c>
      <c r="R5" s="354"/>
      <c r="S5" s="354"/>
      <c r="T5" s="354"/>
      <c r="U5" s="354"/>
      <c r="V5" s="354"/>
      <c r="W5" s="354"/>
      <c r="X5" s="354"/>
      <c r="Y5" s="354"/>
    </row>
    <row r="6" spans="1:25" x14ac:dyDescent="0.25">
      <c r="A6" s="354" t="s">
        <v>768</v>
      </c>
      <c r="B6" s="354" t="s">
        <v>100</v>
      </c>
      <c r="C6" s="365">
        <v>16265</v>
      </c>
      <c r="D6" s="362">
        <v>56.23</v>
      </c>
      <c r="E6" s="356">
        <f t="shared" ref="E6:E10" si="0">C6*D6</f>
        <v>914580.95</v>
      </c>
      <c r="F6" s="354" t="s">
        <v>745</v>
      </c>
      <c r="G6" s="354"/>
      <c r="H6" s="354" t="s">
        <v>747</v>
      </c>
      <c r="I6" s="354"/>
      <c r="J6" s="354" t="s">
        <v>101</v>
      </c>
      <c r="K6" s="356">
        <v>300</v>
      </c>
      <c r="L6" s="356">
        <v>17494.939999999999</v>
      </c>
      <c r="M6" s="356">
        <f t="shared" ref="M6:M10" si="1">K6*L6</f>
        <v>5248482</v>
      </c>
      <c r="N6" s="354" t="s">
        <v>103</v>
      </c>
      <c r="O6" s="356">
        <v>16</v>
      </c>
      <c r="P6" s="356">
        <v>1450.01</v>
      </c>
      <c r="Q6" s="356">
        <f>O6*P6</f>
        <v>23200.16</v>
      </c>
      <c r="R6" s="354" t="s">
        <v>101</v>
      </c>
      <c r="S6" s="354"/>
      <c r="T6" s="354" t="s">
        <v>747</v>
      </c>
      <c r="U6" s="354"/>
      <c r="V6" s="354" t="s">
        <v>103</v>
      </c>
      <c r="W6" s="354"/>
      <c r="X6" s="354" t="s">
        <v>747</v>
      </c>
      <c r="Y6" s="354"/>
    </row>
    <row r="7" spans="1:25" x14ac:dyDescent="0.25">
      <c r="A7" s="354" t="s">
        <v>748</v>
      </c>
      <c r="B7" s="354" t="s">
        <v>100</v>
      </c>
      <c r="C7" s="365">
        <v>19500</v>
      </c>
      <c r="D7" s="362">
        <v>56.23</v>
      </c>
      <c r="E7" s="356">
        <f t="shared" si="0"/>
        <v>1096485</v>
      </c>
      <c r="F7" s="354" t="s">
        <v>745</v>
      </c>
      <c r="G7" s="354"/>
      <c r="H7" s="354" t="s">
        <v>747</v>
      </c>
      <c r="I7" s="354"/>
      <c r="J7" s="354" t="s">
        <v>101</v>
      </c>
      <c r="K7" s="356">
        <v>670</v>
      </c>
      <c r="L7" s="356">
        <v>17494.939999999999</v>
      </c>
      <c r="M7" s="356">
        <f t="shared" si="1"/>
        <v>11721609.799999999</v>
      </c>
      <c r="N7" s="354" t="s">
        <v>103</v>
      </c>
      <c r="O7" s="356">
        <v>23</v>
      </c>
      <c r="P7" s="356">
        <v>1445</v>
      </c>
      <c r="Q7" s="356">
        <f t="shared" ref="Q7:Q10" si="2">O7*P7</f>
        <v>33235</v>
      </c>
      <c r="R7" s="354" t="s">
        <v>101</v>
      </c>
      <c r="S7" s="354"/>
      <c r="T7" s="354" t="s">
        <v>747</v>
      </c>
      <c r="U7" s="354"/>
      <c r="V7" s="354" t="s">
        <v>103</v>
      </c>
      <c r="W7" s="354"/>
      <c r="X7" s="354" t="s">
        <v>747</v>
      </c>
      <c r="Y7" s="354"/>
    </row>
    <row r="8" spans="1:25" x14ac:dyDescent="0.25">
      <c r="A8" s="354" t="s">
        <v>749</v>
      </c>
      <c r="B8" s="354" t="s">
        <v>100</v>
      </c>
      <c r="C8" s="365">
        <v>15000</v>
      </c>
      <c r="D8" s="362">
        <v>58.48</v>
      </c>
      <c r="E8" s="356">
        <f t="shared" si="0"/>
        <v>877200</v>
      </c>
      <c r="F8" s="354" t="s">
        <v>745</v>
      </c>
      <c r="G8" s="354"/>
      <c r="H8" s="354"/>
      <c r="I8" s="354"/>
      <c r="J8" s="354" t="s">
        <v>101</v>
      </c>
      <c r="K8" s="356">
        <v>324</v>
      </c>
      <c r="L8" s="356">
        <v>18194.740000000002</v>
      </c>
      <c r="M8" s="356">
        <f t="shared" si="1"/>
        <v>5895095.7600000007</v>
      </c>
      <c r="N8" s="354" t="s">
        <v>103</v>
      </c>
      <c r="O8" s="356">
        <v>16</v>
      </c>
      <c r="P8" s="356">
        <v>1490</v>
      </c>
      <c r="Q8" s="356">
        <f t="shared" si="2"/>
        <v>23840</v>
      </c>
      <c r="R8" s="354"/>
      <c r="S8" s="354"/>
      <c r="T8" s="354"/>
      <c r="U8" s="354"/>
      <c r="V8" s="354"/>
      <c r="W8" s="354"/>
      <c r="X8" s="354"/>
      <c r="Y8" s="354"/>
    </row>
    <row r="9" spans="1:25" x14ac:dyDescent="0.25">
      <c r="A9" s="354" t="s">
        <v>750</v>
      </c>
      <c r="B9" s="354" t="s">
        <v>100</v>
      </c>
      <c r="C9" s="365">
        <v>19500</v>
      </c>
      <c r="D9" s="362">
        <v>58.48</v>
      </c>
      <c r="E9" s="356">
        <f t="shared" si="0"/>
        <v>1140360</v>
      </c>
      <c r="F9" s="354" t="s">
        <v>745</v>
      </c>
      <c r="G9" s="354"/>
      <c r="H9" s="354" t="s">
        <v>747</v>
      </c>
      <c r="I9" s="354"/>
      <c r="J9" s="354" t="s">
        <v>101</v>
      </c>
      <c r="K9" s="356">
        <v>670</v>
      </c>
      <c r="L9" s="356">
        <v>18194.740000000002</v>
      </c>
      <c r="M9" s="356">
        <f t="shared" si="1"/>
        <v>12190475.800000001</v>
      </c>
      <c r="N9" s="354" t="s">
        <v>103</v>
      </c>
      <c r="O9" s="356">
        <v>22</v>
      </c>
      <c r="P9" s="356">
        <v>1490.56</v>
      </c>
      <c r="Q9" s="356">
        <f t="shared" si="2"/>
        <v>32792.32</v>
      </c>
      <c r="R9" s="354" t="s">
        <v>101</v>
      </c>
      <c r="S9" s="354"/>
      <c r="T9" s="354" t="s">
        <v>747</v>
      </c>
      <c r="U9" s="354"/>
      <c r="V9" s="354" t="s">
        <v>103</v>
      </c>
      <c r="W9" s="354"/>
      <c r="X9" s="354" t="s">
        <v>747</v>
      </c>
      <c r="Y9" s="354"/>
    </row>
    <row r="10" spans="1:25" x14ac:dyDescent="0.25">
      <c r="A10" s="354" t="s">
        <v>751</v>
      </c>
      <c r="B10" s="354" t="s">
        <v>100</v>
      </c>
      <c r="C10" s="365">
        <v>15000</v>
      </c>
      <c r="D10" s="362">
        <v>60.82</v>
      </c>
      <c r="E10" s="356">
        <f t="shared" si="0"/>
        <v>912300</v>
      </c>
      <c r="F10" s="354" t="s">
        <v>745</v>
      </c>
      <c r="G10" s="354"/>
      <c r="H10" s="354"/>
      <c r="I10" s="354"/>
      <c r="J10" s="354" t="s">
        <v>101</v>
      </c>
      <c r="K10" s="356">
        <v>324</v>
      </c>
      <c r="L10" s="356">
        <v>18922.53</v>
      </c>
      <c r="M10" s="356">
        <f t="shared" si="1"/>
        <v>6130899.7199999997</v>
      </c>
      <c r="N10" s="354" t="s">
        <v>103</v>
      </c>
      <c r="O10" s="356">
        <v>16</v>
      </c>
      <c r="P10" s="356">
        <v>1532.59</v>
      </c>
      <c r="Q10" s="356">
        <f t="shared" si="2"/>
        <v>24521.439999999999</v>
      </c>
      <c r="R10" s="354"/>
      <c r="S10" s="354"/>
      <c r="T10" s="354"/>
      <c r="U10" s="354"/>
      <c r="V10" s="354"/>
      <c r="W10" s="354"/>
      <c r="X10" s="354"/>
      <c r="Y10" s="354"/>
    </row>
    <row r="12" spans="1:25" x14ac:dyDescent="0.25">
      <c r="A12" s="367"/>
    </row>
    <row r="14" spans="1:25" x14ac:dyDescent="0.25">
      <c r="A14" s="817" t="s">
        <v>752</v>
      </c>
      <c r="B14" s="817"/>
      <c r="C14" s="817"/>
      <c r="D14" s="817"/>
      <c r="E14" s="817"/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</row>
    <row r="16" spans="1:25" x14ac:dyDescent="0.25">
      <c r="A16" s="818"/>
      <c r="B16" s="822" t="s">
        <v>753</v>
      </c>
      <c r="C16" s="822"/>
      <c r="D16" s="822"/>
      <c r="E16" s="822"/>
      <c r="F16" s="822"/>
      <c r="G16" s="822"/>
      <c r="H16" s="822" t="s">
        <v>754</v>
      </c>
      <c r="I16" s="822"/>
      <c r="J16" s="822"/>
      <c r="K16" s="822"/>
      <c r="L16" s="822"/>
      <c r="M16" s="822"/>
    </row>
    <row r="17" spans="1:27" ht="37.5" customHeight="1" x14ac:dyDescent="0.25">
      <c r="A17" s="821"/>
      <c r="B17" s="820"/>
      <c r="C17" s="755"/>
      <c r="D17" s="820" t="s">
        <v>755</v>
      </c>
      <c r="E17" s="755"/>
      <c r="F17" s="820" t="s">
        <v>756</v>
      </c>
      <c r="G17" s="755"/>
      <c r="H17" s="820"/>
      <c r="I17" s="755"/>
      <c r="J17" s="820" t="s">
        <v>755</v>
      </c>
      <c r="K17" s="755"/>
      <c r="L17" s="820" t="s">
        <v>756</v>
      </c>
      <c r="M17" s="755"/>
    </row>
    <row r="18" spans="1:27" ht="25.5" x14ac:dyDescent="0.25">
      <c r="A18" s="819"/>
      <c r="B18" s="357" t="s">
        <v>44</v>
      </c>
      <c r="C18" s="358" t="s">
        <v>45</v>
      </c>
      <c r="D18" s="359" t="s">
        <v>40</v>
      </c>
      <c r="E18" s="360" t="s">
        <v>41</v>
      </c>
      <c r="F18" s="359" t="s">
        <v>40</v>
      </c>
      <c r="G18" s="360" t="s">
        <v>41</v>
      </c>
      <c r="H18" s="357" t="s">
        <v>44</v>
      </c>
      <c r="I18" s="358" t="s">
        <v>45</v>
      </c>
      <c r="J18" s="359" t="s">
        <v>40</v>
      </c>
      <c r="K18" s="360" t="s">
        <v>41</v>
      </c>
      <c r="L18" s="359" t="s">
        <v>40</v>
      </c>
      <c r="M18" s="360" t="s">
        <v>41</v>
      </c>
    </row>
    <row r="19" spans="1:27" x14ac:dyDescent="0.25">
      <c r="A19" s="354" t="s">
        <v>16</v>
      </c>
      <c r="B19" s="354" t="s">
        <v>745</v>
      </c>
      <c r="C19" s="354"/>
      <c r="D19" s="354" t="s">
        <v>747</v>
      </c>
      <c r="E19" s="354"/>
      <c r="F19" s="354" t="s">
        <v>757</v>
      </c>
      <c r="G19" s="354"/>
      <c r="H19" s="354" t="s">
        <v>745</v>
      </c>
      <c r="I19" s="354"/>
      <c r="J19" s="354" t="s">
        <v>747</v>
      </c>
      <c r="K19" s="354"/>
      <c r="L19" s="354" t="s">
        <v>757</v>
      </c>
      <c r="M19" s="354"/>
    </row>
    <row r="20" spans="1:27" x14ac:dyDescent="0.25">
      <c r="A20" s="354" t="s">
        <v>3</v>
      </c>
      <c r="B20" s="354" t="s">
        <v>745</v>
      </c>
      <c r="C20" s="354"/>
      <c r="D20" s="354" t="s">
        <v>747</v>
      </c>
      <c r="E20" s="354"/>
      <c r="F20" s="354" t="s">
        <v>757</v>
      </c>
      <c r="G20" s="354"/>
      <c r="H20" s="354" t="s">
        <v>745</v>
      </c>
      <c r="I20" s="354"/>
      <c r="J20" s="354" t="s">
        <v>747</v>
      </c>
      <c r="K20" s="354"/>
      <c r="L20" s="354" t="s">
        <v>757</v>
      </c>
      <c r="M20" s="354"/>
    </row>
    <row r="21" spans="1:27" x14ac:dyDescent="0.25">
      <c r="A21" s="354" t="s">
        <v>5</v>
      </c>
      <c r="B21" s="354" t="s">
        <v>745</v>
      </c>
      <c r="C21" s="354"/>
      <c r="D21" s="354" t="s">
        <v>747</v>
      </c>
      <c r="E21" s="354"/>
      <c r="F21" s="354" t="s">
        <v>757</v>
      </c>
      <c r="G21" s="354"/>
      <c r="H21" s="354" t="s">
        <v>745</v>
      </c>
      <c r="I21" s="354"/>
      <c r="J21" s="354" t="s">
        <v>747</v>
      </c>
      <c r="K21" s="354"/>
      <c r="L21" s="354" t="s">
        <v>757</v>
      </c>
      <c r="M21" s="354"/>
    </row>
    <row r="22" spans="1:27" x14ac:dyDescent="0.25">
      <c r="A22" s="368"/>
    </row>
    <row r="23" spans="1:27" hidden="1" x14ac:dyDescent="0.25">
      <c r="A23" s="367" t="s">
        <v>747</v>
      </c>
      <c r="B23" s="353" t="s">
        <v>758</v>
      </c>
    </row>
    <row r="24" spans="1:27" hidden="1" x14ac:dyDescent="0.25">
      <c r="A24" s="367" t="s">
        <v>757</v>
      </c>
      <c r="B24" s="353" t="s">
        <v>759</v>
      </c>
    </row>
    <row r="25" spans="1:27" hidden="1" x14ac:dyDescent="0.25">
      <c r="A25" s="817" t="s">
        <v>760</v>
      </c>
      <c r="B25" s="817"/>
      <c r="C25" s="817"/>
      <c r="D25" s="817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817"/>
      <c r="V25" s="817"/>
      <c r="W25" s="817"/>
      <c r="X25" s="817"/>
      <c r="Y25" s="817"/>
      <c r="Z25" s="817"/>
      <c r="AA25" s="817"/>
    </row>
    <row r="26" spans="1:27" hidden="1" x14ac:dyDescent="0.25"/>
    <row r="27" spans="1:27" hidden="1" x14ac:dyDescent="0.25"/>
    <row r="28" spans="1:27" ht="72.75" hidden="1" customHeight="1" x14ac:dyDescent="0.25">
      <c r="A28" s="818"/>
      <c r="B28" s="820" t="s">
        <v>761</v>
      </c>
      <c r="C28" s="754"/>
      <c r="D28" s="754"/>
      <c r="E28" s="755"/>
      <c r="F28" s="728" t="s">
        <v>762</v>
      </c>
      <c r="G28" s="728"/>
      <c r="H28" s="820" t="s">
        <v>763</v>
      </c>
      <c r="I28" s="754"/>
      <c r="J28" s="754"/>
      <c r="K28" s="755"/>
      <c r="L28" s="728" t="s">
        <v>764</v>
      </c>
      <c r="M28" s="728"/>
      <c r="N28" s="820" t="s">
        <v>765</v>
      </c>
      <c r="O28" s="754"/>
      <c r="P28" s="754"/>
      <c r="Q28" s="755"/>
      <c r="R28" s="728" t="s">
        <v>766</v>
      </c>
      <c r="S28" s="728"/>
    </row>
    <row r="29" spans="1:27" ht="25.5" hidden="1" x14ac:dyDescent="0.25">
      <c r="A29" s="819"/>
      <c r="B29" s="357" t="s">
        <v>44</v>
      </c>
      <c r="C29" s="358" t="s">
        <v>45</v>
      </c>
      <c r="D29" s="359" t="s">
        <v>40</v>
      </c>
      <c r="E29" s="360" t="s">
        <v>41</v>
      </c>
      <c r="F29" s="359" t="s">
        <v>40</v>
      </c>
      <c r="G29" s="360" t="s">
        <v>41</v>
      </c>
      <c r="H29" s="357" t="s">
        <v>44</v>
      </c>
      <c r="I29" s="358" t="s">
        <v>45</v>
      </c>
      <c r="J29" s="359" t="s">
        <v>40</v>
      </c>
      <c r="K29" s="360" t="s">
        <v>41</v>
      </c>
      <c r="L29" s="359" t="s">
        <v>40</v>
      </c>
      <c r="M29" s="360" t="s">
        <v>41</v>
      </c>
      <c r="N29" s="357" t="s">
        <v>44</v>
      </c>
      <c r="O29" s="358" t="s">
        <v>45</v>
      </c>
      <c r="P29" s="359" t="s">
        <v>40</v>
      </c>
      <c r="Q29" s="360" t="s">
        <v>41</v>
      </c>
      <c r="R29" s="359" t="s">
        <v>40</v>
      </c>
      <c r="S29" s="360" t="s">
        <v>41</v>
      </c>
    </row>
    <row r="30" spans="1:27" hidden="1" x14ac:dyDescent="0.25">
      <c r="A30" s="354" t="s">
        <v>744</v>
      </c>
      <c r="B30" s="354" t="s">
        <v>745</v>
      </c>
      <c r="C30" s="354"/>
      <c r="D30" s="354"/>
      <c r="E30" s="354"/>
      <c r="F30" s="354"/>
      <c r="G30" s="354"/>
      <c r="H30" s="354" t="s">
        <v>745</v>
      </c>
      <c r="I30" s="354"/>
      <c r="J30" s="354"/>
      <c r="K30" s="354"/>
      <c r="L30" s="354"/>
      <c r="M30" s="354"/>
      <c r="N30" s="354" t="s">
        <v>745</v>
      </c>
      <c r="O30" s="354"/>
      <c r="P30" s="354"/>
      <c r="Q30" s="354"/>
      <c r="R30" s="354"/>
      <c r="S30" s="354"/>
    </row>
    <row r="31" spans="1:27" hidden="1" x14ac:dyDescent="0.25">
      <c r="A31" s="354" t="s">
        <v>746</v>
      </c>
      <c r="B31" s="354" t="s">
        <v>745</v>
      </c>
      <c r="C31" s="354"/>
      <c r="D31" s="354"/>
      <c r="E31" s="354"/>
      <c r="F31" s="354"/>
      <c r="G31" s="354"/>
      <c r="H31" s="354" t="s">
        <v>745</v>
      </c>
      <c r="I31" s="354"/>
      <c r="J31" s="354"/>
      <c r="K31" s="354"/>
      <c r="L31" s="354"/>
      <c r="M31" s="354"/>
      <c r="N31" s="354" t="s">
        <v>745</v>
      </c>
      <c r="O31" s="354"/>
      <c r="P31" s="354"/>
      <c r="Q31" s="354"/>
      <c r="R31" s="354"/>
      <c r="S31" s="354"/>
    </row>
    <row r="32" spans="1:27" hidden="1" x14ac:dyDescent="0.25">
      <c r="A32" s="354" t="s">
        <v>738</v>
      </c>
      <c r="B32" s="354" t="s">
        <v>745</v>
      </c>
      <c r="C32" s="354"/>
      <c r="D32" s="354" t="s">
        <v>747</v>
      </c>
      <c r="E32" s="354"/>
      <c r="F32" s="354" t="s">
        <v>747</v>
      </c>
      <c r="G32" s="354"/>
      <c r="H32" s="354" t="s">
        <v>745</v>
      </c>
      <c r="I32" s="354"/>
      <c r="J32" s="354" t="s">
        <v>747</v>
      </c>
      <c r="K32" s="354"/>
      <c r="L32" s="354" t="s">
        <v>747</v>
      </c>
      <c r="M32" s="354"/>
      <c r="N32" s="354" t="s">
        <v>745</v>
      </c>
      <c r="O32" s="354"/>
      <c r="P32" s="354" t="s">
        <v>747</v>
      </c>
      <c r="Q32" s="354"/>
      <c r="R32" s="354" t="s">
        <v>747</v>
      </c>
      <c r="S32" s="354"/>
    </row>
    <row r="33" spans="1:19" hidden="1" x14ac:dyDescent="0.25">
      <c r="A33" s="354" t="s">
        <v>3</v>
      </c>
      <c r="B33" s="354" t="s">
        <v>745</v>
      </c>
      <c r="C33" s="354"/>
      <c r="D33" s="354" t="s">
        <v>747</v>
      </c>
      <c r="E33" s="354"/>
      <c r="F33" s="354" t="s">
        <v>747</v>
      </c>
      <c r="G33" s="354"/>
      <c r="H33" s="354" t="s">
        <v>745</v>
      </c>
      <c r="I33" s="354"/>
      <c r="J33" s="354" t="s">
        <v>747</v>
      </c>
      <c r="K33" s="354"/>
      <c r="L33" s="354" t="s">
        <v>747</v>
      </c>
      <c r="M33" s="354"/>
      <c r="N33" s="354" t="s">
        <v>745</v>
      </c>
      <c r="O33" s="354"/>
      <c r="P33" s="354" t="s">
        <v>747</v>
      </c>
      <c r="Q33" s="354"/>
      <c r="R33" s="354" t="s">
        <v>747</v>
      </c>
      <c r="S33" s="354"/>
    </row>
    <row r="34" spans="1:19" hidden="1" x14ac:dyDescent="0.25">
      <c r="A34" s="354" t="s">
        <v>5</v>
      </c>
      <c r="B34" s="354" t="s">
        <v>745</v>
      </c>
      <c r="C34" s="354"/>
      <c r="D34" s="354" t="s">
        <v>747</v>
      </c>
      <c r="E34" s="354"/>
      <c r="F34" s="354" t="s">
        <v>747</v>
      </c>
      <c r="G34" s="354"/>
      <c r="H34" s="354" t="s">
        <v>745</v>
      </c>
      <c r="I34" s="354"/>
      <c r="J34" s="354" t="s">
        <v>747</v>
      </c>
      <c r="K34" s="354"/>
      <c r="L34" s="354" t="s">
        <v>747</v>
      </c>
      <c r="M34" s="354"/>
      <c r="N34" s="354" t="s">
        <v>745</v>
      </c>
      <c r="O34" s="354"/>
      <c r="P34" s="354" t="s">
        <v>747</v>
      </c>
      <c r="Q34" s="354"/>
      <c r="R34" s="354" t="s">
        <v>747</v>
      </c>
      <c r="S34" s="354"/>
    </row>
    <row r="35" spans="1:19" hidden="1" x14ac:dyDescent="0.25"/>
    <row r="36" spans="1:19" hidden="1" x14ac:dyDescent="0.25">
      <c r="A36" s="367" t="s">
        <v>747</v>
      </c>
      <c r="B36" s="353" t="s">
        <v>758</v>
      </c>
    </row>
  </sheetData>
  <mergeCells count="26">
    <mergeCell ref="A1:V1"/>
    <mergeCell ref="A3:A4"/>
    <mergeCell ref="B3:E3"/>
    <mergeCell ref="F3:I3"/>
    <mergeCell ref="J3:M3"/>
    <mergeCell ref="N3:Q3"/>
    <mergeCell ref="R3:U3"/>
    <mergeCell ref="V3:Y3"/>
    <mergeCell ref="A14:V14"/>
    <mergeCell ref="A16:A18"/>
    <mergeCell ref="B16:G16"/>
    <mergeCell ref="H16:M16"/>
    <mergeCell ref="B17:C17"/>
    <mergeCell ref="D17:E17"/>
    <mergeCell ref="F17:G17"/>
    <mergeCell ref="H17:I17"/>
    <mergeCell ref="J17:K17"/>
    <mergeCell ref="L17:M17"/>
    <mergeCell ref="A25:AA25"/>
    <mergeCell ref="A28:A29"/>
    <mergeCell ref="B28:E28"/>
    <mergeCell ref="F28:G28"/>
    <mergeCell ref="H28:K28"/>
    <mergeCell ref="L28:M28"/>
    <mergeCell ref="N28:Q28"/>
    <mergeCell ref="R28:S2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</sheetPr>
  <dimension ref="A1:H11"/>
  <sheetViews>
    <sheetView workbookViewId="0">
      <selection activeCell="CL134" sqref="CL134:DA134"/>
    </sheetView>
  </sheetViews>
  <sheetFormatPr defaultColWidth="9.140625" defaultRowHeight="15" x14ac:dyDescent="0.25"/>
  <cols>
    <col min="1" max="1" width="30.140625" style="352" customWidth="1"/>
    <col min="2" max="2" width="14.7109375" style="352" customWidth="1"/>
    <col min="3" max="3" width="14.28515625" style="352" customWidth="1"/>
    <col min="4" max="4" width="18.7109375" style="352" customWidth="1"/>
    <col min="5" max="5" width="15" style="352" customWidth="1"/>
    <col min="6" max="6" width="13.85546875" style="352" customWidth="1"/>
    <col min="7" max="7" width="14.28515625" style="352" customWidth="1"/>
    <col min="8" max="8" width="15.7109375" style="352" customWidth="1"/>
    <col min="9" max="16384" width="9.140625" style="352"/>
  </cols>
  <sheetData>
    <row r="1" spans="1:8" ht="29.25" customHeight="1" x14ac:dyDescent="0.25">
      <c r="A1" s="786" t="s">
        <v>67</v>
      </c>
      <c r="B1" s="786"/>
      <c r="C1" s="786"/>
      <c r="D1" s="786"/>
      <c r="E1" s="786"/>
      <c r="F1" s="786"/>
      <c r="G1" s="786"/>
    </row>
    <row r="3" spans="1:8" x14ac:dyDescent="0.25">
      <c r="A3" s="824"/>
      <c r="B3" s="812" t="s">
        <v>68</v>
      </c>
      <c r="C3" s="812"/>
      <c r="D3" s="812"/>
      <c r="E3" s="814" t="s">
        <v>69</v>
      </c>
      <c r="F3" s="814"/>
      <c r="G3" s="814"/>
      <c r="H3" s="825" t="s">
        <v>52</v>
      </c>
    </row>
    <row r="4" spans="1:8" ht="30" x14ac:dyDescent="0.25">
      <c r="A4" s="824"/>
      <c r="B4" s="355" t="s">
        <v>70</v>
      </c>
      <c r="C4" s="355" t="s">
        <v>71</v>
      </c>
      <c r="D4" s="355" t="s">
        <v>72</v>
      </c>
      <c r="E4" s="355" t="s">
        <v>73</v>
      </c>
      <c r="F4" s="355" t="s">
        <v>71</v>
      </c>
      <c r="G4" s="355" t="s">
        <v>72</v>
      </c>
      <c r="H4" s="826"/>
    </row>
    <row r="5" spans="1:8" x14ac:dyDescent="0.25">
      <c r="A5" s="354" t="s">
        <v>16</v>
      </c>
      <c r="B5" s="364"/>
      <c r="C5" s="364"/>
      <c r="D5" s="364"/>
      <c r="E5" s="364">
        <v>18</v>
      </c>
      <c r="F5" s="364">
        <v>1200</v>
      </c>
      <c r="G5" s="363">
        <v>311050</v>
      </c>
      <c r="H5" s="363">
        <f t="shared" ref="H5:H7" si="0">D5+G5</f>
        <v>311050</v>
      </c>
    </row>
    <row r="6" spans="1:8" x14ac:dyDescent="0.25">
      <c r="A6" s="354" t="s">
        <v>3</v>
      </c>
      <c r="B6" s="364"/>
      <c r="C6" s="364"/>
      <c r="D6" s="364"/>
      <c r="E6" s="364">
        <v>18</v>
      </c>
      <c r="F6" s="364">
        <v>1200</v>
      </c>
      <c r="G6" s="363">
        <v>311050</v>
      </c>
      <c r="H6" s="363">
        <f t="shared" si="0"/>
        <v>311050</v>
      </c>
    </row>
    <row r="7" spans="1:8" x14ac:dyDescent="0.25">
      <c r="A7" s="354" t="s">
        <v>5</v>
      </c>
      <c r="B7" s="364"/>
      <c r="C7" s="364"/>
      <c r="D7" s="364"/>
      <c r="E7" s="364">
        <v>18</v>
      </c>
      <c r="F7" s="364">
        <v>1200</v>
      </c>
      <c r="G7" s="363">
        <v>311050</v>
      </c>
      <c r="H7" s="363">
        <f t="shared" si="0"/>
        <v>311050</v>
      </c>
    </row>
    <row r="9" spans="1:8" x14ac:dyDescent="0.25">
      <c r="A9" s="387" t="s">
        <v>784</v>
      </c>
      <c r="B9" s="388">
        <v>1200</v>
      </c>
      <c r="C9" s="388">
        <f>B9*18*9</f>
        <v>194400</v>
      </c>
      <c r="D9" s="388">
        <v>2160</v>
      </c>
      <c r="E9" s="388">
        <f>D9*18*3</f>
        <v>116640</v>
      </c>
      <c r="F9" s="388">
        <f>E9+C9</f>
        <v>311040</v>
      </c>
    </row>
    <row r="10" spans="1:8" x14ac:dyDescent="0.25">
      <c r="A10" s="389"/>
      <c r="B10" s="368"/>
    </row>
    <row r="11" spans="1:8" x14ac:dyDescent="0.25">
      <c r="A11" s="389"/>
      <c r="B11" s="368"/>
    </row>
  </sheetData>
  <mergeCells count="5">
    <mergeCell ref="A1:G1"/>
    <mergeCell ref="A3:A4"/>
    <mergeCell ref="B3:D3"/>
    <mergeCell ref="E3:G3"/>
    <mergeCell ref="H3:H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249977111117893"/>
  </sheetPr>
  <dimension ref="A1:AK10"/>
  <sheetViews>
    <sheetView view="pageBreakPreview" topLeftCell="J1" zoomScaleNormal="100" zoomScaleSheetLayoutView="100" workbookViewId="0">
      <selection activeCell="CL134" sqref="CL134:DA134"/>
    </sheetView>
  </sheetViews>
  <sheetFormatPr defaultRowHeight="12.75" x14ac:dyDescent="0.2"/>
  <cols>
    <col min="1" max="1" width="4.140625" style="239" customWidth="1"/>
    <col min="2" max="2" width="33.28515625" style="240" customWidth="1"/>
    <col min="3" max="3" width="8.85546875" style="240" customWidth="1"/>
    <col min="4" max="4" width="14.140625" style="240" bestFit="1" customWidth="1"/>
    <col min="5" max="5" width="10.5703125" style="240" bestFit="1" customWidth="1"/>
    <col min="6" max="6" width="11.42578125" style="240" bestFit="1" customWidth="1"/>
    <col min="7" max="7" width="10.42578125" style="240" bestFit="1" customWidth="1"/>
    <col min="8" max="8" width="10.5703125" style="240" bestFit="1" customWidth="1"/>
    <col min="9" max="9" width="11.42578125" style="240" bestFit="1" customWidth="1"/>
    <col min="10" max="10" width="12.7109375" style="240" bestFit="1" customWidth="1"/>
    <col min="11" max="11" width="10.5703125" style="240" hidden="1" customWidth="1"/>
    <col min="12" max="12" width="11.42578125" style="240" hidden="1" customWidth="1"/>
    <col min="13" max="13" width="10.42578125" style="240" hidden="1" customWidth="1"/>
    <col min="14" max="14" width="10.5703125" style="240" bestFit="1" customWidth="1"/>
    <col min="15" max="15" width="11.42578125" style="240" bestFit="1" customWidth="1"/>
    <col min="16" max="16" width="12.7109375" style="240" bestFit="1" customWidth="1"/>
    <col min="17" max="17" width="10.5703125" style="240" bestFit="1" customWidth="1"/>
    <col min="18" max="18" width="11.42578125" style="240" bestFit="1" customWidth="1"/>
    <col min="19" max="19" width="10.140625" style="240" bestFit="1" customWidth="1"/>
    <col min="20" max="20" width="10.5703125" style="240" hidden="1" customWidth="1"/>
    <col min="21" max="21" width="10.85546875" style="240" hidden="1" customWidth="1"/>
    <col min="22" max="22" width="7.7109375" style="240" bestFit="1" customWidth="1"/>
    <col min="23" max="23" width="12.7109375" style="240" customWidth="1"/>
    <col min="24" max="24" width="11.42578125" style="240" customWidth="1"/>
    <col min="25" max="25" width="10.140625" style="240" customWidth="1"/>
    <col min="26" max="26" width="13.28515625" style="240" customWidth="1"/>
    <col min="27" max="27" width="12.5703125" style="240" customWidth="1"/>
    <col min="28" max="28" width="15.42578125" style="240" customWidth="1"/>
    <col min="29" max="29" width="12.7109375" style="240" customWidth="1"/>
    <col min="30" max="30" width="14" style="240" customWidth="1"/>
    <col min="31" max="31" width="12" style="240" customWidth="1"/>
    <col min="32" max="32" width="13.7109375" style="240" customWidth="1"/>
    <col min="33" max="33" width="8.42578125" style="240" bestFit="1" customWidth="1"/>
    <col min="34" max="34" width="14.140625" style="240" customWidth="1"/>
    <col min="35" max="256" width="9.140625" style="240"/>
    <col min="257" max="257" width="4.140625" style="240" customWidth="1"/>
    <col min="258" max="258" width="33.28515625" style="240" customWidth="1"/>
    <col min="259" max="259" width="8.85546875" style="240" customWidth="1"/>
    <col min="260" max="260" width="11.140625" style="240" customWidth="1"/>
    <col min="261" max="261" width="7.85546875" style="240" customWidth="1"/>
    <col min="262" max="262" width="12.5703125" style="240" customWidth="1"/>
    <col min="263" max="263" width="11.7109375" style="240" customWidth="1"/>
    <col min="264" max="264" width="7.7109375" style="240" customWidth="1"/>
    <col min="265" max="265" width="15" style="240" customWidth="1"/>
    <col min="266" max="266" width="14.42578125" style="240" customWidth="1"/>
    <col min="267" max="267" width="9" style="240" customWidth="1"/>
    <col min="268" max="268" width="13.7109375" style="240" customWidth="1"/>
    <col min="269" max="269" width="12.140625" style="240" customWidth="1"/>
    <col min="270" max="270" width="10.5703125" style="240" customWidth="1"/>
    <col min="271" max="271" width="9.85546875" style="240" customWidth="1"/>
    <col min="272" max="272" width="14.28515625" style="240" customWidth="1"/>
    <col min="273" max="273" width="8.85546875" style="240" customWidth="1"/>
    <col min="274" max="274" width="12.7109375" style="240" customWidth="1"/>
    <col min="275" max="275" width="9.85546875" style="240" customWidth="1"/>
    <col min="276" max="276" width="9.7109375" style="240" customWidth="1"/>
    <col min="277" max="277" width="9.85546875" style="240" customWidth="1"/>
    <col min="278" max="278" width="8.28515625" style="240" customWidth="1"/>
    <col min="279" max="279" width="12.7109375" style="240" customWidth="1"/>
    <col min="280" max="280" width="11.42578125" style="240" customWidth="1"/>
    <col min="281" max="281" width="10.140625" style="240" customWidth="1"/>
    <col min="282" max="282" width="13.28515625" style="240" customWidth="1"/>
    <col min="283" max="283" width="14.85546875" style="240" customWidth="1"/>
    <col min="284" max="284" width="15.42578125" style="240" customWidth="1"/>
    <col min="285" max="285" width="12.7109375" style="240" customWidth="1"/>
    <col min="286" max="286" width="14" style="240" customWidth="1"/>
    <col min="287" max="287" width="14.28515625" style="240" customWidth="1"/>
    <col min="288" max="289" width="13.7109375" style="240" customWidth="1"/>
    <col min="290" max="290" width="14.140625" style="240" customWidth="1"/>
    <col min="291" max="512" width="9.140625" style="240"/>
    <col min="513" max="513" width="4.140625" style="240" customWidth="1"/>
    <col min="514" max="514" width="33.28515625" style="240" customWidth="1"/>
    <col min="515" max="515" width="8.85546875" style="240" customWidth="1"/>
    <col min="516" max="516" width="11.140625" style="240" customWidth="1"/>
    <col min="517" max="517" width="7.85546875" style="240" customWidth="1"/>
    <col min="518" max="518" width="12.5703125" style="240" customWidth="1"/>
    <col min="519" max="519" width="11.7109375" style="240" customWidth="1"/>
    <col min="520" max="520" width="7.7109375" style="240" customWidth="1"/>
    <col min="521" max="521" width="15" style="240" customWidth="1"/>
    <col min="522" max="522" width="14.42578125" style="240" customWidth="1"/>
    <col min="523" max="523" width="9" style="240" customWidth="1"/>
    <col min="524" max="524" width="13.7109375" style="240" customWidth="1"/>
    <col min="525" max="525" width="12.140625" style="240" customWidth="1"/>
    <col min="526" max="526" width="10.5703125" style="240" customWidth="1"/>
    <col min="527" max="527" width="9.85546875" style="240" customWidth="1"/>
    <col min="528" max="528" width="14.28515625" style="240" customWidth="1"/>
    <col min="529" max="529" width="8.85546875" style="240" customWidth="1"/>
    <col min="530" max="530" width="12.7109375" style="240" customWidth="1"/>
    <col min="531" max="531" width="9.85546875" style="240" customWidth="1"/>
    <col min="532" max="532" width="9.7109375" style="240" customWidth="1"/>
    <col min="533" max="533" width="9.85546875" style="240" customWidth="1"/>
    <col min="534" max="534" width="8.28515625" style="240" customWidth="1"/>
    <col min="535" max="535" width="12.7109375" style="240" customWidth="1"/>
    <col min="536" max="536" width="11.42578125" style="240" customWidth="1"/>
    <col min="537" max="537" width="10.140625" style="240" customWidth="1"/>
    <col min="538" max="538" width="13.28515625" style="240" customWidth="1"/>
    <col min="539" max="539" width="14.85546875" style="240" customWidth="1"/>
    <col min="540" max="540" width="15.42578125" style="240" customWidth="1"/>
    <col min="541" max="541" width="12.7109375" style="240" customWidth="1"/>
    <col min="542" max="542" width="14" style="240" customWidth="1"/>
    <col min="543" max="543" width="14.28515625" style="240" customWidth="1"/>
    <col min="544" max="545" width="13.7109375" style="240" customWidth="1"/>
    <col min="546" max="546" width="14.140625" style="240" customWidth="1"/>
    <col min="547" max="768" width="9.140625" style="240"/>
    <col min="769" max="769" width="4.140625" style="240" customWidth="1"/>
    <col min="770" max="770" width="33.28515625" style="240" customWidth="1"/>
    <col min="771" max="771" width="8.85546875" style="240" customWidth="1"/>
    <col min="772" max="772" width="11.140625" style="240" customWidth="1"/>
    <col min="773" max="773" width="7.85546875" style="240" customWidth="1"/>
    <col min="774" max="774" width="12.5703125" style="240" customWidth="1"/>
    <col min="775" max="775" width="11.7109375" style="240" customWidth="1"/>
    <col min="776" max="776" width="7.7109375" style="240" customWidth="1"/>
    <col min="777" max="777" width="15" style="240" customWidth="1"/>
    <col min="778" max="778" width="14.42578125" style="240" customWidth="1"/>
    <col min="779" max="779" width="9" style="240" customWidth="1"/>
    <col min="780" max="780" width="13.7109375" style="240" customWidth="1"/>
    <col min="781" max="781" width="12.140625" style="240" customWidth="1"/>
    <col min="782" max="782" width="10.5703125" style="240" customWidth="1"/>
    <col min="783" max="783" width="9.85546875" style="240" customWidth="1"/>
    <col min="784" max="784" width="14.28515625" style="240" customWidth="1"/>
    <col min="785" max="785" width="8.85546875" style="240" customWidth="1"/>
    <col min="786" max="786" width="12.7109375" style="240" customWidth="1"/>
    <col min="787" max="787" width="9.85546875" style="240" customWidth="1"/>
    <col min="788" max="788" width="9.7109375" style="240" customWidth="1"/>
    <col min="789" max="789" width="9.85546875" style="240" customWidth="1"/>
    <col min="790" max="790" width="8.28515625" style="240" customWidth="1"/>
    <col min="791" max="791" width="12.7109375" style="240" customWidth="1"/>
    <col min="792" max="792" width="11.42578125" style="240" customWidth="1"/>
    <col min="793" max="793" width="10.140625" style="240" customWidth="1"/>
    <col min="794" max="794" width="13.28515625" style="240" customWidth="1"/>
    <col min="795" max="795" width="14.85546875" style="240" customWidth="1"/>
    <col min="796" max="796" width="15.42578125" style="240" customWidth="1"/>
    <col min="797" max="797" width="12.7109375" style="240" customWidth="1"/>
    <col min="798" max="798" width="14" style="240" customWidth="1"/>
    <col min="799" max="799" width="14.28515625" style="240" customWidth="1"/>
    <col min="800" max="801" width="13.7109375" style="240" customWidth="1"/>
    <col min="802" max="802" width="14.140625" style="240" customWidth="1"/>
    <col min="803" max="1024" width="9.140625" style="240"/>
    <col min="1025" max="1025" width="4.140625" style="240" customWidth="1"/>
    <col min="1026" max="1026" width="33.28515625" style="240" customWidth="1"/>
    <col min="1027" max="1027" width="8.85546875" style="240" customWidth="1"/>
    <col min="1028" max="1028" width="11.140625" style="240" customWidth="1"/>
    <col min="1029" max="1029" width="7.85546875" style="240" customWidth="1"/>
    <col min="1030" max="1030" width="12.5703125" style="240" customWidth="1"/>
    <col min="1031" max="1031" width="11.7109375" style="240" customWidth="1"/>
    <col min="1032" max="1032" width="7.7109375" style="240" customWidth="1"/>
    <col min="1033" max="1033" width="15" style="240" customWidth="1"/>
    <col min="1034" max="1034" width="14.42578125" style="240" customWidth="1"/>
    <col min="1035" max="1035" width="9" style="240" customWidth="1"/>
    <col min="1036" max="1036" width="13.7109375" style="240" customWidth="1"/>
    <col min="1037" max="1037" width="12.140625" style="240" customWidth="1"/>
    <col min="1038" max="1038" width="10.5703125" style="240" customWidth="1"/>
    <col min="1039" max="1039" width="9.85546875" style="240" customWidth="1"/>
    <col min="1040" max="1040" width="14.28515625" style="240" customWidth="1"/>
    <col min="1041" max="1041" width="8.85546875" style="240" customWidth="1"/>
    <col min="1042" max="1042" width="12.7109375" style="240" customWidth="1"/>
    <col min="1043" max="1043" width="9.85546875" style="240" customWidth="1"/>
    <col min="1044" max="1044" width="9.7109375" style="240" customWidth="1"/>
    <col min="1045" max="1045" width="9.85546875" style="240" customWidth="1"/>
    <col min="1046" max="1046" width="8.28515625" style="240" customWidth="1"/>
    <col min="1047" max="1047" width="12.7109375" style="240" customWidth="1"/>
    <col min="1048" max="1048" width="11.42578125" style="240" customWidth="1"/>
    <col min="1049" max="1049" width="10.140625" style="240" customWidth="1"/>
    <col min="1050" max="1050" width="13.28515625" style="240" customWidth="1"/>
    <col min="1051" max="1051" width="14.85546875" style="240" customWidth="1"/>
    <col min="1052" max="1052" width="15.42578125" style="240" customWidth="1"/>
    <col min="1053" max="1053" width="12.7109375" style="240" customWidth="1"/>
    <col min="1054" max="1054" width="14" style="240" customWidth="1"/>
    <col min="1055" max="1055" width="14.28515625" style="240" customWidth="1"/>
    <col min="1056" max="1057" width="13.7109375" style="240" customWidth="1"/>
    <col min="1058" max="1058" width="14.140625" style="240" customWidth="1"/>
    <col min="1059" max="1280" width="9.140625" style="240"/>
    <col min="1281" max="1281" width="4.140625" style="240" customWidth="1"/>
    <col min="1282" max="1282" width="33.28515625" style="240" customWidth="1"/>
    <col min="1283" max="1283" width="8.85546875" style="240" customWidth="1"/>
    <col min="1284" max="1284" width="11.140625" style="240" customWidth="1"/>
    <col min="1285" max="1285" width="7.85546875" style="240" customWidth="1"/>
    <col min="1286" max="1286" width="12.5703125" style="240" customWidth="1"/>
    <col min="1287" max="1287" width="11.7109375" style="240" customWidth="1"/>
    <col min="1288" max="1288" width="7.7109375" style="240" customWidth="1"/>
    <col min="1289" max="1289" width="15" style="240" customWidth="1"/>
    <col min="1290" max="1290" width="14.42578125" style="240" customWidth="1"/>
    <col min="1291" max="1291" width="9" style="240" customWidth="1"/>
    <col min="1292" max="1292" width="13.7109375" style="240" customWidth="1"/>
    <col min="1293" max="1293" width="12.140625" style="240" customWidth="1"/>
    <col min="1294" max="1294" width="10.5703125" style="240" customWidth="1"/>
    <col min="1295" max="1295" width="9.85546875" style="240" customWidth="1"/>
    <col min="1296" max="1296" width="14.28515625" style="240" customWidth="1"/>
    <col min="1297" max="1297" width="8.85546875" style="240" customWidth="1"/>
    <col min="1298" max="1298" width="12.7109375" style="240" customWidth="1"/>
    <col min="1299" max="1299" width="9.85546875" style="240" customWidth="1"/>
    <col min="1300" max="1300" width="9.7109375" style="240" customWidth="1"/>
    <col min="1301" max="1301" width="9.85546875" style="240" customWidth="1"/>
    <col min="1302" max="1302" width="8.28515625" style="240" customWidth="1"/>
    <col min="1303" max="1303" width="12.7109375" style="240" customWidth="1"/>
    <col min="1304" max="1304" width="11.42578125" style="240" customWidth="1"/>
    <col min="1305" max="1305" width="10.140625" style="240" customWidth="1"/>
    <col min="1306" max="1306" width="13.28515625" style="240" customWidth="1"/>
    <col min="1307" max="1307" width="14.85546875" style="240" customWidth="1"/>
    <col min="1308" max="1308" width="15.42578125" style="240" customWidth="1"/>
    <col min="1309" max="1309" width="12.7109375" style="240" customWidth="1"/>
    <col min="1310" max="1310" width="14" style="240" customWidth="1"/>
    <col min="1311" max="1311" width="14.28515625" style="240" customWidth="1"/>
    <col min="1312" max="1313" width="13.7109375" style="240" customWidth="1"/>
    <col min="1314" max="1314" width="14.140625" style="240" customWidth="1"/>
    <col min="1315" max="1536" width="9.140625" style="240"/>
    <col min="1537" max="1537" width="4.140625" style="240" customWidth="1"/>
    <col min="1538" max="1538" width="33.28515625" style="240" customWidth="1"/>
    <col min="1539" max="1539" width="8.85546875" style="240" customWidth="1"/>
    <col min="1540" max="1540" width="11.140625" style="240" customWidth="1"/>
    <col min="1541" max="1541" width="7.85546875" style="240" customWidth="1"/>
    <col min="1542" max="1542" width="12.5703125" style="240" customWidth="1"/>
    <col min="1543" max="1543" width="11.7109375" style="240" customWidth="1"/>
    <col min="1544" max="1544" width="7.7109375" style="240" customWidth="1"/>
    <col min="1545" max="1545" width="15" style="240" customWidth="1"/>
    <col min="1546" max="1546" width="14.42578125" style="240" customWidth="1"/>
    <col min="1547" max="1547" width="9" style="240" customWidth="1"/>
    <col min="1548" max="1548" width="13.7109375" style="240" customWidth="1"/>
    <col min="1549" max="1549" width="12.140625" style="240" customWidth="1"/>
    <col min="1550" max="1550" width="10.5703125" style="240" customWidth="1"/>
    <col min="1551" max="1551" width="9.85546875" style="240" customWidth="1"/>
    <col min="1552" max="1552" width="14.28515625" style="240" customWidth="1"/>
    <col min="1553" max="1553" width="8.85546875" style="240" customWidth="1"/>
    <col min="1554" max="1554" width="12.7109375" style="240" customWidth="1"/>
    <col min="1555" max="1555" width="9.85546875" style="240" customWidth="1"/>
    <col min="1556" max="1556" width="9.7109375" style="240" customWidth="1"/>
    <col min="1557" max="1557" width="9.85546875" style="240" customWidth="1"/>
    <col min="1558" max="1558" width="8.28515625" style="240" customWidth="1"/>
    <col min="1559" max="1559" width="12.7109375" style="240" customWidth="1"/>
    <col min="1560" max="1560" width="11.42578125" style="240" customWidth="1"/>
    <col min="1561" max="1561" width="10.140625" style="240" customWidth="1"/>
    <col min="1562" max="1562" width="13.28515625" style="240" customWidth="1"/>
    <col min="1563" max="1563" width="14.85546875" style="240" customWidth="1"/>
    <col min="1564" max="1564" width="15.42578125" style="240" customWidth="1"/>
    <col min="1565" max="1565" width="12.7109375" style="240" customWidth="1"/>
    <col min="1566" max="1566" width="14" style="240" customWidth="1"/>
    <col min="1567" max="1567" width="14.28515625" style="240" customWidth="1"/>
    <col min="1568" max="1569" width="13.7109375" style="240" customWidth="1"/>
    <col min="1570" max="1570" width="14.140625" style="240" customWidth="1"/>
    <col min="1571" max="1792" width="9.140625" style="240"/>
    <col min="1793" max="1793" width="4.140625" style="240" customWidth="1"/>
    <col min="1794" max="1794" width="33.28515625" style="240" customWidth="1"/>
    <col min="1795" max="1795" width="8.85546875" style="240" customWidth="1"/>
    <col min="1796" max="1796" width="11.140625" style="240" customWidth="1"/>
    <col min="1797" max="1797" width="7.85546875" style="240" customWidth="1"/>
    <col min="1798" max="1798" width="12.5703125" style="240" customWidth="1"/>
    <col min="1799" max="1799" width="11.7109375" style="240" customWidth="1"/>
    <col min="1800" max="1800" width="7.7109375" style="240" customWidth="1"/>
    <col min="1801" max="1801" width="15" style="240" customWidth="1"/>
    <col min="1802" max="1802" width="14.42578125" style="240" customWidth="1"/>
    <col min="1803" max="1803" width="9" style="240" customWidth="1"/>
    <col min="1804" max="1804" width="13.7109375" style="240" customWidth="1"/>
    <col min="1805" max="1805" width="12.140625" style="240" customWidth="1"/>
    <col min="1806" max="1806" width="10.5703125" style="240" customWidth="1"/>
    <col min="1807" max="1807" width="9.85546875" style="240" customWidth="1"/>
    <col min="1808" max="1808" width="14.28515625" style="240" customWidth="1"/>
    <col min="1809" max="1809" width="8.85546875" style="240" customWidth="1"/>
    <col min="1810" max="1810" width="12.7109375" style="240" customWidth="1"/>
    <col min="1811" max="1811" width="9.85546875" style="240" customWidth="1"/>
    <col min="1812" max="1812" width="9.7109375" style="240" customWidth="1"/>
    <col min="1813" max="1813" width="9.85546875" style="240" customWidth="1"/>
    <col min="1814" max="1814" width="8.28515625" style="240" customWidth="1"/>
    <col min="1815" max="1815" width="12.7109375" style="240" customWidth="1"/>
    <col min="1816" max="1816" width="11.42578125" style="240" customWidth="1"/>
    <col min="1817" max="1817" width="10.140625" style="240" customWidth="1"/>
    <col min="1818" max="1818" width="13.28515625" style="240" customWidth="1"/>
    <col min="1819" max="1819" width="14.85546875" style="240" customWidth="1"/>
    <col min="1820" max="1820" width="15.42578125" style="240" customWidth="1"/>
    <col min="1821" max="1821" width="12.7109375" style="240" customWidth="1"/>
    <col min="1822" max="1822" width="14" style="240" customWidth="1"/>
    <col min="1823" max="1823" width="14.28515625" style="240" customWidth="1"/>
    <col min="1824" max="1825" width="13.7109375" style="240" customWidth="1"/>
    <col min="1826" max="1826" width="14.140625" style="240" customWidth="1"/>
    <col min="1827" max="2048" width="9.140625" style="240"/>
    <col min="2049" max="2049" width="4.140625" style="240" customWidth="1"/>
    <col min="2050" max="2050" width="33.28515625" style="240" customWidth="1"/>
    <col min="2051" max="2051" width="8.85546875" style="240" customWidth="1"/>
    <col min="2052" max="2052" width="11.140625" style="240" customWidth="1"/>
    <col min="2053" max="2053" width="7.85546875" style="240" customWidth="1"/>
    <col min="2054" max="2054" width="12.5703125" style="240" customWidth="1"/>
    <col min="2055" max="2055" width="11.7109375" style="240" customWidth="1"/>
    <col min="2056" max="2056" width="7.7109375" style="240" customWidth="1"/>
    <col min="2057" max="2057" width="15" style="240" customWidth="1"/>
    <col min="2058" max="2058" width="14.42578125" style="240" customWidth="1"/>
    <col min="2059" max="2059" width="9" style="240" customWidth="1"/>
    <col min="2060" max="2060" width="13.7109375" style="240" customWidth="1"/>
    <col min="2061" max="2061" width="12.140625" style="240" customWidth="1"/>
    <col min="2062" max="2062" width="10.5703125" style="240" customWidth="1"/>
    <col min="2063" max="2063" width="9.85546875" style="240" customWidth="1"/>
    <col min="2064" max="2064" width="14.28515625" style="240" customWidth="1"/>
    <col min="2065" max="2065" width="8.85546875" style="240" customWidth="1"/>
    <col min="2066" max="2066" width="12.7109375" style="240" customWidth="1"/>
    <col min="2067" max="2067" width="9.85546875" style="240" customWidth="1"/>
    <col min="2068" max="2068" width="9.7109375" style="240" customWidth="1"/>
    <col min="2069" max="2069" width="9.85546875" style="240" customWidth="1"/>
    <col min="2070" max="2070" width="8.28515625" style="240" customWidth="1"/>
    <col min="2071" max="2071" width="12.7109375" style="240" customWidth="1"/>
    <col min="2072" max="2072" width="11.42578125" style="240" customWidth="1"/>
    <col min="2073" max="2073" width="10.140625" style="240" customWidth="1"/>
    <col min="2074" max="2074" width="13.28515625" style="240" customWidth="1"/>
    <col min="2075" max="2075" width="14.85546875" style="240" customWidth="1"/>
    <col min="2076" max="2076" width="15.42578125" style="240" customWidth="1"/>
    <col min="2077" max="2077" width="12.7109375" style="240" customWidth="1"/>
    <col min="2078" max="2078" width="14" style="240" customWidth="1"/>
    <col min="2079" max="2079" width="14.28515625" style="240" customWidth="1"/>
    <col min="2080" max="2081" width="13.7109375" style="240" customWidth="1"/>
    <col min="2082" max="2082" width="14.140625" style="240" customWidth="1"/>
    <col min="2083" max="2304" width="9.140625" style="240"/>
    <col min="2305" max="2305" width="4.140625" style="240" customWidth="1"/>
    <col min="2306" max="2306" width="33.28515625" style="240" customWidth="1"/>
    <col min="2307" max="2307" width="8.85546875" style="240" customWidth="1"/>
    <col min="2308" max="2308" width="11.140625" style="240" customWidth="1"/>
    <col min="2309" max="2309" width="7.85546875" style="240" customWidth="1"/>
    <col min="2310" max="2310" width="12.5703125" style="240" customWidth="1"/>
    <col min="2311" max="2311" width="11.7109375" style="240" customWidth="1"/>
    <col min="2312" max="2312" width="7.7109375" style="240" customWidth="1"/>
    <col min="2313" max="2313" width="15" style="240" customWidth="1"/>
    <col min="2314" max="2314" width="14.42578125" style="240" customWidth="1"/>
    <col min="2315" max="2315" width="9" style="240" customWidth="1"/>
    <col min="2316" max="2316" width="13.7109375" style="240" customWidth="1"/>
    <col min="2317" max="2317" width="12.140625" style="240" customWidth="1"/>
    <col min="2318" max="2318" width="10.5703125" style="240" customWidth="1"/>
    <col min="2319" max="2319" width="9.85546875" style="240" customWidth="1"/>
    <col min="2320" max="2320" width="14.28515625" style="240" customWidth="1"/>
    <col min="2321" max="2321" width="8.85546875" style="240" customWidth="1"/>
    <col min="2322" max="2322" width="12.7109375" style="240" customWidth="1"/>
    <col min="2323" max="2323" width="9.85546875" style="240" customWidth="1"/>
    <col min="2324" max="2324" width="9.7109375" style="240" customWidth="1"/>
    <col min="2325" max="2325" width="9.85546875" style="240" customWidth="1"/>
    <col min="2326" max="2326" width="8.28515625" style="240" customWidth="1"/>
    <col min="2327" max="2327" width="12.7109375" style="240" customWidth="1"/>
    <col min="2328" max="2328" width="11.42578125" style="240" customWidth="1"/>
    <col min="2329" max="2329" width="10.140625" style="240" customWidth="1"/>
    <col min="2330" max="2330" width="13.28515625" style="240" customWidth="1"/>
    <col min="2331" max="2331" width="14.85546875" style="240" customWidth="1"/>
    <col min="2332" max="2332" width="15.42578125" style="240" customWidth="1"/>
    <col min="2333" max="2333" width="12.7109375" style="240" customWidth="1"/>
    <col min="2334" max="2334" width="14" style="240" customWidth="1"/>
    <col min="2335" max="2335" width="14.28515625" style="240" customWidth="1"/>
    <col min="2336" max="2337" width="13.7109375" style="240" customWidth="1"/>
    <col min="2338" max="2338" width="14.140625" style="240" customWidth="1"/>
    <col min="2339" max="2560" width="9.140625" style="240"/>
    <col min="2561" max="2561" width="4.140625" style="240" customWidth="1"/>
    <col min="2562" max="2562" width="33.28515625" style="240" customWidth="1"/>
    <col min="2563" max="2563" width="8.85546875" style="240" customWidth="1"/>
    <col min="2564" max="2564" width="11.140625" style="240" customWidth="1"/>
    <col min="2565" max="2565" width="7.85546875" style="240" customWidth="1"/>
    <col min="2566" max="2566" width="12.5703125" style="240" customWidth="1"/>
    <col min="2567" max="2567" width="11.7109375" style="240" customWidth="1"/>
    <col min="2568" max="2568" width="7.7109375" style="240" customWidth="1"/>
    <col min="2569" max="2569" width="15" style="240" customWidth="1"/>
    <col min="2570" max="2570" width="14.42578125" style="240" customWidth="1"/>
    <col min="2571" max="2571" width="9" style="240" customWidth="1"/>
    <col min="2572" max="2572" width="13.7109375" style="240" customWidth="1"/>
    <col min="2573" max="2573" width="12.140625" style="240" customWidth="1"/>
    <col min="2574" max="2574" width="10.5703125" style="240" customWidth="1"/>
    <col min="2575" max="2575" width="9.85546875" style="240" customWidth="1"/>
    <col min="2576" max="2576" width="14.28515625" style="240" customWidth="1"/>
    <col min="2577" max="2577" width="8.85546875" style="240" customWidth="1"/>
    <col min="2578" max="2578" width="12.7109375" style="240" customWidth="1"/>
    <col min="2579" max="2579" width="9.85546875" style="240" customWidth="1"/>
    <col min="2580" max="2580" width="9.7109375" style="240" customWidth="1"/>
    <col min="2581" max="2581" width="9.85546875" style="240" customWidth="1"/>
    <col min="2582" max="2582" width="8.28515625" style="240" customWidth="1"/>
    <col min="2583" max="2583" width="12.7109375" style="240" customWidth="1"/>
    <col min="2584" max="2584" width="11.42578125" style="240" customWidth="1"/>
    <col min="2585" max="2585" width="10.140625" style="240" customWidth="1"/>
    <col min="2586" max="2586" width="13.28515625" style="240" customWidth="1"/>
    <col min="2587" max="2587" width="14.85546875" style="240" customWidth="1"/>
    <col min="2588" max="2588" width="15.42578125" style="240" customWidth="1"/>
    <col min="2589" max="2589" width="12.7109375" style="240" customWidth="1"/>
    <col min="2590" max="2590" width="14" style="240" customWidth="1"/>
    <col min="2591" max="2591" width="14.28515625" style="240" customWidth="1"/>
    <col min="2592" max="2593" width="13.7109375" style="240" customWidth="1"/>
    <col min="2594" max="2594" width="14.140625" style="240" customWidth="1"/>
    <col min="2595" max="2816" width="9.140625" style="240"/>
    <col min="2817" max="2817" width="4.140625" style="240" customWidth="1"/>
    <col min="2818" max="2818" width="33.28515625" style="240" customWidth="1"/>
    <col min="2819" max="2819" width="8.85546875" style="240" customWidth="1"/>
    <col min="2820" max="2820" width="11.140625" style="240" customWidth="1"/>
    <col min="2821" max="2821" width="7.85546875" style="240" customWidth="1"/>
    <col min="2822" max="2822" width="12.5703125" style="240" customWidth="1"/>
    <col min="2823" max="2823" width="11.7109375" style="240" customWidth="1"/>
    <col min="2824" max="2824" width="7.7109375" style="240" customWidth="1"/>
    <col min="2825" max="2825" width="15" style="240" customWidth="1"/>
    <col min="2826" max="2826" width="14.42578125" style="240" customWidth="1"/>
    <col min="2827" max="2827" width="9" style="240" customWidth="1"/>
    <col min="2828" max="2828" width="13.7109375" style="240" customWidth="1"/>
    <col min="2829" max="2829" width="12.140625" style="240" customWidth="1"/>
    <col min="2830" max="2830" width="10.5703125" style="240" customWidth="1"/>
    <col min="2831" max="2831" width="9.85546875" style="240" customWidth="1"/>
    <col min="2832" max="2832" width="14.28515625" style="240" customWidth="1"/>
    <col min="2833" max="2833" width="8.85546875" style="240" customWidth="1"/>
    <col min="2834" max="2834" width="12.7109375" style="240" customWidth="1"/>
    <col min="2835" max="2835" width="9.85546875" style="240" customWidth="1"/>
    <col min="2836" max="2836" width="9.7109375" style="240" customWidth="1"/>
    <col min="2837" max="2837" width="9.85546875" style="240" customWidth="1"/>
    <col min="2838" max="2838" width="8.28515625" style="240" customWidth="1"/>
    <col min="2839" max="2839" width="12.7109375" style="240" customWidth="1"/>
    <col min="2840" max="2840" width="11.42578125" style="240" customWidth="1"/>
    <col min="2841" max="2841" width="10.140625" style="240" customWidth="1"/>
    <col min="2842" max="2842" width="13.28515625" style="240" customWidth="1"/>
    <col min="2843" max="2843" width="14.85546875" style="240" customWidth="1"/>
    <col min="2844" max="2844" width="15.42578125" style="240" customWidth="1"/>
    <col min="2845" max="2845" width="12.7109375" style="240" customWidth="1"/>
    <col min="2846" max="2846" width="14" style="240" customWidth="1"/>
    <col min="2847" max="2847" width="14.28515625" style="240" customWidth="1"/>
    <col min="2848" max="2849" width="13.7109375" style="240" customWidth="1"/>
    <col min="2850" max="2850" width="14.140625" style="240" customWidth="1"/>
    <col min="2851" max="3072" width="9.140625" style="240"/>
    <col min="3073" max="3073" width="4.140625" style="240" customWidth="1"/>
    <col min="3074" max="3074" width="33.28515625" style="240" customWidth="1"/>
    <col min="3075" max="3075" width="8.85546875" style="240" customWidth="1"/>
    <col min="3076" max="3076" width="11.140625" style="240" customWidth="1"/>
    <col min="3077" max="3077" width="7.85546875" style="240" customWidth="1"/>
    <col min="3078" max="3078" width="12.5703125" style="240" customWidth="1"/>
    <col min="3079" max="3079" width="11.7109375" style="240" customWidth="1"/>
    <col min="3080" max="3080" width="7.7109375" style="240" customWidth="1"/>
    <col min="3081" max="3081" width="15" style="240" customWidth="1"/>
    <col min="3082" max="3082" width="14.42578125" style="240" customWidth="1"/>
    <col min="3083" max="3083" width="9" style="240" customWidth="1"/>
    <col min="3084" max="3084" width="13.7109375" style="240" customWidth="1"/>
    <col min="3085" max="3085" width="12.140625" style="240" customWidth="1"/>
    <col min="3086" max="3086" width="10.5703125" style="240" customWidth="1"/>
    <col min="3087" max="3087" width="9.85546875" style="240" customWidth="1"/>
    <col min="3088" max="3088" width="14.28515625" style="240" customWidth="1"/>
    <col min="3089" max="3089" width="8.85546875" style="240" customWidth="1"/>
    <col min="3090" max="3090" width="12.7109375" style="240" customWidth="1"/>
    <col min="3091" max="3091" width="9.85546875" style="240" customWidth="1"/>
    <col min="3092" max="3092" width="9.7109375" style="240" customWidth="1"/>
    <col min="3093" max="3093" width="9.85546875" style="240" customWidth="1"/>
    <col min="3094" max="3094" width="8.28515625" style="240" customWidth="1"/>
    <col min="3095" max="3095" width="12.7109375" style="240" customWidth="1"/>
    <col min="3096" max="3096" width="11.42578125" style="240" customWidth="1"/>
    <col min="3097" max="3097" width="10.140625" style="240" customWidth="1"/>
    <col min="3098" max="3098" width="13.28515625" style="240" customWidth="1"/>
    <col min="3099" max="3099" width="14.85546875" style="240" customWidth="1"/>
    <col min="3100" max="3100" width="15.42578125" style="240" customWidth="1"/>
    <col min="3101" max="3101" width="12.7109375" style="240" customWidth="1"/>
    <col min="3102" max="3102" width="14" style="240" customWidth="1"/>
    <col min="3103" max="3103" width="14.28515625" style="240" customWidth="1"/>
    <col min="3104" max="3105" width="13.7109375" style="240" customWidth="1"/>
    <col min="3106" max="3106" width="14.140625" style="240" customWidth="1"/>
    <col min="3107" max="3328" width="9.140625" style="240"/>
    <col min="3329" max="3329" width="4.140625" style="240" customWidth="1"/>
    <col min="3330" max="3330" width="33.28515625" style="240" customWidth="1"/>
    <col min="3331" max="3331" width="8.85546875" style="240" customWidth="1"/>
    <col min="3332" max="3332" width="11.140625" style="240" customWidth="1"/>
    <col min="3333" max="3333" width="7.85546875" style="240" customWidth="1"/>
    <col min="3334" max="3334" width="12.5703125" style="240" customWidth="1"/>
    <col min="3335" max="3335" width="11.7109375" style="240" customWidth="1"/>
    <col min="3336" max="3336" width="7.7109375" style="240" customWidth="1"/>
    <col min="3337" max="3337" width="15" style="240" customWidth="1"/>
    <col min="3338" max="3338" width="14.42578125" style="240" customWidth="1"/>
    <col min="3339" max="3339" width="9" style="240" customWidth="1"/>
    <col min="3340" max="3340" width="13.7109375" style="240" customWidth="1"/>
    <col min="3341" max="3341" width="12.140625" style="240" customWidth="1"/>
    <col min="3342" max="3342" width="10.5703125" style="240" customWidth="1"/>
    <col min="3343" max="3343" width="9.85546875" style="240" customWidth="1"/>
    <col min="3344" max="3344" width="14.28515625" style="240" customWidth="1"/>
    <col min="3345" max="3345" width="8.85546875" style="240" customWidth="1"/>
    <col min="3346" max="3346" width="12.7109375" style="240" customWidth="1"/>
    <col min="3347" max="3347" width="9.85546875" style="240" customWidth="1"/>
    <col min="3348" max="3348" width="9.7109375" style="240" customWidth="1"/>
    <col min="3349" max="3349" width="9.85546875" style="240" customWidth="1"/>
    <col min="3350" max="3350" width="8.28515625" style="240" customWidth="1"/>
    <col min="3351" max="3351" width="12.7109375" style="240" customWidth="1"/>
    <col min="3352" max="3352" width="11.42578125" style="240" customWidth="1"/>
    <col min="3353" max="3353" width="10.140625" style="240" customWidth="1"/>
    <col min="3354" max="3354" width="13.28515625" style="240" customWidth="1"/>
    <col min="3355" max="3355" width="14.85546875" style="240" customWidth="1"/>
    <col min="3356" max="3356" width="15.42578125" style="240" customWidth="1"/>
    <col min="3357" max="3357" width="12.7109375" style="240" customWidth="1"/>
    <col min="3358" max="3358" width="14" style="240" customWidth="1"/>
    <col min="3359" max="3359" width="14.28515625" style="240" customWidth="1"/>
    <col min="3360" max="3361" width="13.7109375" style="240" customWidth="1"/>
    <col min="3362" max="3362" width="14.140625" style="240" customWidth="1"/>
    <col min="3363" max="3584" width="9.140625" style="240"/>
    <col min="3585" max="3585" width="4.140625" style="240" customWidth="1"/>
    <col min="3586" max="3586" width="33.28515625" style="240" customWidth="1"/>
    <col min="3587" max="3587" width="8.85546875" style="240" customWidth="1"/>
    <col min="3588" max="3588" width="11.140625" style="240" customWidth="1"/>
    <col min="3589" max="3589" width="7.85546875" style="240" customWidth="1"/>
    <col min="3590" max="3590" width="12.5703125" style="240" customWidth="1"/>
    <col min="3591" max="3591" width="11.7109375" style="240" customWidth="1"/>
    <col min="3592" max="3592" width="7.7109375" style="240" customWidth="1"/>
    <col min="3593" max="3593" width="15" style="240" customWidth="1"/>
    <col min="3594" max="3594" width="14.42578125" style="240" customWidth="1"/>
    <col min="3595" max="3595" width="9" style="240" customWidth="1"/>
    <col min="3596" max="3596" width="13.7109375" style="240" customWidth="1"/>
    <col min="3597" max="3597" width="12.140625" style="240" customWidth="1"/>
    <col min="3598" max="3598" width="10.5703125" style="240" customWidth="1"/>
    <col min="3599" max="3599" width="9.85546875" style="240" customWidth="1"/>
    <col min="3600" max="3600" width="14.28515625" style="240" customWidth="1"/>
    <col min="3601" max="3601" width="8.85546875" style="240" customWidth="1"/>
    <col min="3602" max="3602" width="12.7109375" style="240" customWidth="1"/>
    <col min="3603" max="3603" width="9.85546875" style="240" customWidth="1"/>
    <col min="3604" max="3604" width="9.7109375" style="240" customWidth="1"/>
    <col min="3605" max="3605" width="9.85546875" style="240" customWidth="1"/>
    <col min="3606" max="3606" width="8.28515625" style="240" customWidth="1"/>
    <col min="3607" max="3607" width="12.7109375" style="240" customWidth="1"/>
    <col min="3608" max="3608" width="11.42578125" style="240" customWidth="1"/>
    <col min="3609" max="3609" width="10.140625" style="240" customWidth="1"/>
    <col min="3610" max="3610" width="13.28515625" style="240" customWidth="1"/>
    <col min="3611" max="3611" width="14.85546875" style="240" customWidth="1"/>
    <col min="3612" max="3612" width="15.42578125" style="240" customWidth="1"/>
    <col min="3613" max="3613" width="12.7109375" style="240" customWidth="1"/>
    <col min="3614" max="3614" width="14" style="240" customWidth="1"/>
    <col min="3615" max="3615" width="14.28515625" style="240" customWidth="1"/>
    <col min="3616" max="3617" width="13.7109375" style="240" customWidth="1"/>
    <col min="3618" max="3618" width="14.140625" style="240" customWidth="1"/>
    <col min="3619" max="3840" width="9.140625" style="240"/>
    <col min="3841" max="3841" width="4.140625" style="240" customWidth="1"/>
    <col min="3842" max="3842" width="33.28515625" style="240" customWidth="1"/>
    <col min="3843" max="3843" width="8.85546875" style="240" customWidth="1"/>
    <col min="3844" max="3844" width="11.140625" style="240" customWidth="1"/>
    <col min="3845" max="3845" width="7.85546875" style="240" customWidth="1"/>
    <col min="3846" max="3846" width="12.5703125" style="240" customWidth="1"/>
    <col min="3847" max="3847" width="11.7109375" style="240" customWidth="1"/>
    <col min="3848" max="3848" width="7.7109375" style="240" customWidth="1"/>
    <col min="3849" max="3849" width="15" style="240" customWidth="1"/>
    <col min="3850" max="3850" width="14.42578125" style="240" customWidth="1"/>
    <col min="3851" max="3851" width="9" style="240" customWidth="1"/>
    <col min="3852" max="3852" width="13.7109375" style="240" customWidth="1"/>
    <col min="3853" max="3853" width="12.140625" style="240" customWidth="1"/>
    <col min="3854" max="3854" width="10.5703125" style="240" customWidth="1"/>
    <col min="3855" max="3855" width="9.85546875" style="240" customWidth="1"/>
    <col min="3856" max="3856" width="14.28515625" style="240" customWidth="1"/>
    <col min="3857" max="3857" width="8.85546875" style="240" customWidth="1"/>
    <col min="3858" max="3858" width="12.7109375" style="240" customWidth="1"/>
    <col min="3859" max="3859" width="9.85546875" style="240" customWidth="1"/>
    <col min="3860" max="3860" width="9.7109375" style="240" customWidth="1"/>
    <col min="3861" max="3861" width="9.85546875" style="240" customWidth="1"/>
    <col min="3862" max="3862" width="8.28515625" style="240" customWidth="1"/>
    <col min="3863" max="3863" width="12.7109375" style="240" customWidth="1"/>
    <col min="3864" max="3864" width="11.42578125" style="240" customWidth="1"/>
    <col min="3865" max="3865" width="10.140625" style="240" customWidth="1"/>
    <col min="3866" max="3866" width="13.28515625" style="240" customWidth="1"/>
    <col min="3867" max="3867" width="14.85546875" style="240" customWidth="1"/>
    <col min="3868" max="3868" width="15.42578125" style="240" customWidth="1"/>
    <col min="3869" max="3869" width="12.7109375" style="240" customWidth="1"/>
    <col min="3870" max="3870" width="14" style="240" customWidth="1"/>
    <col min="3871" max="3871" width="14.28515625" style="240" customWidth="1"/>
    <col min="3872" max="3873" width="13.7109375" style="240" customWidth="1"/>
    <col min="3874" max="3874" width="14.140625" style="240" customWidth="1"/>
    <col min="3875" max="4096" width="9.140625" style="240"/>
    <col min="4097" max="4097" width="4.140625" style="240" customWidth="1"/>
    <col min="4098" max="4098" width="33.28515625" style="240" customWidth="1"/>
    <col min="4099" max="4099" width="8.85546875" style="240" customWidth="1"/>
    <col min="4100" max="4100" width="11.140625" style="240" customWidth="1"/>
    <col min="4101" max="4101" width="7.85546875" style="240" customWidth="1"/>
    <col min="4102" max="4102" width="12.5703125" style="240" customWidth="1"/>
    <col min="4103" max="4103" width="11.7109375" style="240" customWidth="1"/>
    <col min="4104" max="4104" width="7.7109375" style="240" customWidth="1"/>
    <col min="4105" max="4105" width="15" style="240" customWidth="1"/>
    <col min="4106" max="4106" width="14.42578125" style="240" customWidth="1"/>
    <col min="4107" max="4107" width="9" style="240" customWidth="1"/>
    <col min="4108" max="4108" width="13.7109375" style="240" customWidth="1"/>
    <col min="4109" max="4109" width="12.140625" style="240" customWidth="1"/>
    <col min="4110" max="4110" width="10.5703125" style="240" customWidth="1"/>
    <col min="4111" max="4111" width="9.85546875" style="240" customWidth="1"/>
    <col min="4112" max="4112" width="14.28515625" style="240" customWidth="1"/>
    <col min="4113" max="4113" width="8.85546875" style="240" customWidth="1"/>
    <col min="4114" max="4114" width="12.7109375" style="240" customWidth="1"/>
    <col min="4115" max="4115" width="9.85546875" style="240" customWidth="1"/>
    <col min="4116" max="4116" width="9.7109375" style="240" customWidth="1"/>
    <col min="4117" max="4117" width="9.85546875" style="240" customWidth="1"/>
    <col min="4118" max="4118" width="8.28515625" style="240" customWidth="1"/>
    <col min="4119" max="4119" width="12.7109375" style="240" customWidth="1"/>
    <col min="4120" max="4120" width="11.42578125" style="240" customWidth="1"/>
    <col min="4121" max="4121" width="10.140625" style="240" customWidth="1"/>
    <col min="4122" max="4122" width="13.28515625" style="240" customWidth="1"/>
    <col min="4123" max="4123" width="14.85546875" style="240" customWidth="1"/>
    <col min="4124" max="4124" width="15.42578125" style="240" customWidth="1"/>
    <col min="4125" max="4125" width="12.7109375" style="240" customWidth="1"/>
    <col min="4126" max="4126" width="14" style="240" customWidth="1"/>
    <col min="4127" max="4127" width="14.28515625" style="240" customWidth="1"/>
    <col min="4128" max="4129" width="13.7109375" style="240" customWidth="1"/>
    <col min="4130" max="4130" width="14.140625" style="240" customWidth="1"/>
    <col min="4131" max="4352" width="9.140625" style="240"/>
    <col min="4353" max="4353" width="4.140625" style="240" customWidth="1"/>
    <col min="4354" max="4354" width="33.28515625" style="240" customWidth="1"/>
    <col min="4355" max="4355" width="8.85546875" style="240" customWidth="1"/>
    <col min="4356" max="4356" width="11.140625" style="240" customWidth="1"/>
    <col min="4357" max="4357" width="7.85546875" style="240" customWidth="1"/>
    <col min="4358" max="4358" width="12.5703125" style="240" customWidth="1"/>
    <col min="4359" max="4359" width="11.7109375" style="240" customWidth="1"/>
    <col min="4360" max="4360" width="7.7109375" style="240" customWidth="1"/>
    <col min="4361" max="4361" width="15" style="240" customWidth="1"/>
    <col min="4362" max="4362" width="14.42578125" style="240" customWidth="1"/>
    <col min="4363" max="4363" width="9" style="240" customWidth="1"/>
    <col min="4364" max="4364" width="13.7109375" style="240" customWidth="1"/>
    <col min="4365" max="4365" width="12.140625" style="240" customWidth="1"/>
    <col min="4366" max="4366" width="10.5703125" style="240" customWidth="1"/>
    <col min="4367" max="4367" width="9.85546875" style="240" customWidth="1"/>
    <col min="4368" max="4368" width="14.28515625" style="240" customWidth="1"/>
    <col min="4369" max="4369" width="8.85546875" style="240" customWidth="1"/>
    <col min="4370" max="4370" width="12.7109375" style="240" customWidth="1"/>
    <col min="4371" max="4371" width="9.85546875" style="240" customWidth="1"/>
    <col min="4372" max="4372" width="9.7109375" style="240" customWidth="1"/>
    <col min="4373" max="4373" width="9.85546875" style="240" customWidth="1"/>
    <col min="4374" max="4374" width="8.28515625" style="240" customWidth="1"/>
    <col min="4375" max="4375" width="12.7109375" style="240" customWidth="1"/>
    <col min="4376" max="4376" width="11.42578125" style="240" customWidth="1"/>
    <col min="4377" max="4377" width="10.140625" style="240" customWidth="1"/>
    <col min="4378" max="4378" width="13.28515625" style="240" customWidth="1"/>
    <col min="4379" max="4379" width="14.85546875" style="240" customWidth="1"/>
    <col min="4380" max="4380" width="15.42578125" style="240" customWidth="1"/>
    <col min="4381" max="4381" width="12.7109375" style="240" customWidth="1"/>
    <col min="4382" max="4382" width="14" style="240" customWidth="1"/>
    <col min="4383" max="4383" width="14.28515625" style="240" customWidth="1"/>
    <col min="4384" max="4385" width="13.7109375" style="240" customWidth="1"/>
    <col min="4386" max="4386" width="14.140625" style="240" customWidth="1"/>
    <col min="4387" max="4608" width="9.140625" style="240"/>
    <col min="4609" max="4609" width="4.140625" style="240" customWidth="1"/>
    <col min="4610" max="4610" width="33.28515625" style="240" customWidth="1"/>
    <col min="4611" max="4611" width="8.85546875" style="240" customWidth="1"/>
    <col min="4612" max="4612" width="11.140625" style="240" customWidth="1"/>
    <col min="4613" max="4613" width="7.85546875" style="240" customWidth="1"/>
    <col min="4614" max="4614" width="12.5703125" style="240" customWidth="1"/>
    <col min="4615" max="4615" width="11.7109375" style="240" customWidth="1"/>
    <col min="4616" max="4616" width="7.7109375" style="240" customWidth="1"/>
    <col min="4617" max="4617" width="15" style="240" customWidth="1"/>
    <col min="4618" max="4618" width="14.42578125" style="240" customWidth="1"/>
    <col min="4619" max="4619" width="9" style="240" customWidth="1"/>
    <col min="4620" max="4620" width="13.7109375" style="240" customWidth="1"/>
    <col min="4621" max="4621" width="12.140625" style="240" customWidth="1"/>
    <col min="4622" max="4622" width="10.5703125" style="240" customWidth="1"/>
    <col min="4623" max="4623" width="9.85546875" style="240" customWidth="1"/>
    <col min="4624" max="4624" width="14.28515625" style="240" customWidth="1"/>
    <col min="4625" max="4625" width="8.85546875" style="240" customWidth="1"/>
    <col min="4626" max="4626" width="12.7109375" style="240" customWidth="1"/>
    <col min="4627" max="4627" width="9.85546875" style="240" customWidth="1"/>
    <col min="4628" max="4628" width="9.7109375" style="240" customWidth="1"/>
    <col min="4629" max="4629" width="9.85546875" style="240" customWidth="1"/>
    <col min="4630" max="4630" width="8.28515625" style="240" customWidth="1"/>
    <col min="4631" max="4631" width="12.7109375" style="240" customWidth="1"/>
    <col min="4632" max="4632" width="11.42578125" style="240" customWidth="1"/>
    <col min="4633" max="4633" width="10.140625" style="240" customWidth="1"/>
    <col min="4634" max="4634" width="13.28515625" style="240" customWidth="1"/>
    <col min="4635" max="4635" width="14.85546875" style="240" customWidth="1"/>
    <col min="4636" max="4636" width="15.42578125" style="240" customWidth="1"/>
    <col min="4637" max="4637" width="12.7109375" style="240" customWidth="1"/>
    <col min="4638" max="4638" width="14" style="240" customWidth="1"/>
    <col min="4639" max="4639" width="14.28515625" style="240" customWidth="1"/>
    <col min="4640" max="4641" width="13.7109375" style="240" customWidth="1"/>
    <col min="4642" max="4642" width="14.140625" style="240" customWidth="1"/>
    <col min="4643" max="4864" width="9.140625" style="240"/>
    <col min="4865" max="4865" width="4.140625" style="240" customWidth="1"/>
    <col min="4866" max="4866" width="33.28515625" style="240" customWidth="1"/>
    <col min="4867" max="4867" width="8.85546875" style="240" customWidth="1"/>
    <col min="4868" max="4868" width="11.140625" style="240" customWidth="1"/>
    <col min="4869" max="4869" width="7.85546875" style="240" customWidth="1"/>
    <col min="4870" max="4870" width="12.5703125" style="240" customWidth="1"/>
    <col min="4871" max="4871" width="11.7109375" style="240" customWidth="1"/>
    <col min="4872" max="4872" width="7.7109375" style="240" customWidth="1"/>
    <col min="4873" max="4873" width="15" style="240" customWidth="1"/>
    <col min="4874" max="4874" width="14.42578125" style="240" customWidth="1"/>
    <col min="4875" max="4875" width="9" style="240" customWidth="1"/>
    <col min="4876" max="4876" width="13.7109375" style="240" customWidth="1"/>
    <col min="4877" max="4877" width="12.140625" style="240" customWidth="1"/>
    <col min="4878" max="4878" width="10.5703125" style="240" customWidth="1"/>
    <col min="4879" max="4879" width="9.85546875" style="240" customWidth="1"/>
    <col min="4880" max="4880" width="14.28515625" style="240" customWidth="1"/>
    <col min="4881" max="4881" width="8.85546875" style="240" customWidth="1"/>
    <col min="4882" max="4882" width="12.7109375" style="240" customWidth="1"/>
    <col min="4883" max="4883" width="9.85546875" style="240" customWidth="1"/>
    <col min="4884" max="4884" width="9.7109375" style="240" customWidth="1"/>
    <col min="4885" max="4885" width="9.85546875" style="240" customWidth="1"/>
    <col min="4886" max="4886" width="8.28515625" style="240" customWidth="1"/>
    <col min="4887" max="4887" width="12.7109375" style="240" customWidth="1"/>
    <col min="4888" max="4888" width="11.42578125" style="240" customWidth="1"/>
    <col min="4889" max="4889" width="10.140625" style="240" customWidth="1"/>
    <col min="4890" max="4890" width="13.28515625" style="240" customWidth="1"/>
    <col min="4891" max="4891" width="14.85546875" style="240" customWidth="1"/>
    <col min="4892" max="4892" width="15.42578125" style="240" customWidth="1"/>
    <col min="4893" max="4893" width="12.7109375" style="240" customWidth="1"/>
    <col min="4894" max="4894" width="14" style="240" customWidth="1"/>
    <col min="4895" max="4895" width="14.28515625" style="240" customWidth="1"/>
    <col min="4896" max="4897" width="13.7109375" style="240" customWidth="1"/>
    <col min="4898" max="4898" width="14.140625" style="240" customWidth="1"/>
    <col min="4899" max="5120" width="9.140625" style="240"/>
    <col min="5121" max="5121" width="4.140625" style="240" customWidth="1"/>
    <col min="5122" max="5122" width="33.28515625" style="240" customWidth="1"/>
    <col min="5123" max="5123" width="8.85546875" style="240" customWidth="1"/>
    <col min="5124" max="5124" width="11.140625" style="240" customWidth="1"/>
    <col min="5125" max="5125" width="7.85546875" style="240" customWidth="1"/>
    <col min="5126" max="5126" width="12.5703125" style="240" customWidth="1"/>
    <col min="5127" max="5127" width="11.7109375" style="240" customWidth="1"/>
    <col min="5128" max="5128" width="7.7109375" style="240" customWidth="1"/>
    <col min="5129" max="5129" width="15" style="240" customWidth="1"/>
    <col min="5130" max="5130" width="14.42578125" style="240" customWidth="1"/>
    <col min="5131" max="5131" width="9" style="240" customWidth="1"/>
    <col min="5132" max="5132" width="13.7109375" style="240" customWidth="1"/>
    <col min="5133" max="5133" width="12.140625" style="240" customWidth="1"/>
    <col min="5134" max="5134" width="10.5703125" style="240" customWidth="1"/>
    <col min="5135" max="5135" width="9.85546875" style="240" customWidth="1"/>
    <col min="5136" max="5136" width="14.28515625" style="240" customWidth="1"/>
    <col min="5137" max="5137" width="8.85546875" style="240" customWidth="1"/>
    <col min="5138" max="5138" width="12.7109375" style="240" customWidth="1"/>
    <col min="5139" max="5139" width="9.85546875" style="240" customWidth="1"/>
    <col min="5140" max="5140" width="9.7109375" style="240" customWidth="1"/>
    <col min="5141" max="5141" width="9.85546875" style="240" customWidth="1"/>
    <col min="5142" max="5142" width="8.28515625" style="240" customWidth="1"/>
    <col min="5143" max="5143" width="12.7109375" style="240" customWidth="1"/>
    <col min="5144" max="5144" width="11.42578125" style="240" customWidth="1"/>
    <col min="5145" max="5145" width="10.140625" style="240" customWidth="1"/>
    <col min="5146" max="5146" width="13.28515625" style="240" customWidth="1"/>
    <col min="5147" max="5147" width="14.85546875" style="240" customWidth="1"/>
    <col min="5148" max="5148" width="15.42578125" style="240" customWidth="1"/>
    <col min="5149" max="5149" width="12.7109375" style="240" customWidth="1"/>
    <col min="5150" max="5150" width="14" style="240" customWidth="1"/>
    <col min="5151" max="5151" width="14.28515625" style="240" customWidth="1"/>
    <col min="5152" max="5153" width="13.7109375" style="240" customWidth="1"/>
    <col min="5154" max="5154" width="14.140625" style="240" customWidth="1"/>
    <col min="5155" max="5376" width="9.140625" style="240"/>
    <col min="5377" max="5377" width="4.140625" style="240" customWidth="1"/>
    <col min="5378" max="5378" width="33.28515625" style="240" customWidth="1"/>
    <col min="5379" max="5379" width="8.85546875" style="240" customWidth="1"/>
    <col min="5380" max="5380" width="11.140625" style="240" customWidth="1"/>
    <col min="5381" max="5381" width="7.85546875" style="240" customWidth="1"/>
    <col min="5382" max="5382" width="12.5703125" style="240" customWidth="1"/>
    <col min="5383" max="5383" width="11.7109375" style="240" customWidth="1"/>
    <col min="5384" max="5384" width="7.7109375" style="240" customWidth="1"/>
    <col min="5385" max="5385" width="15" style="240" customWidth="1"/>
    <col min="5386" max="5386" width="14.42578125" style="240" customWidth="1"/>
    <col min="5387" max="5387" width="9" style="240" customWidth="1"/>
    <col min="5388" max="5388" width="13.7109375" style="240" customWidth="1"/>
    <col min="5389" max="5389" width="12.140625" style="240" customWidth="1"/>
    <col min="5390" max="5390" width="10.5703125" style="240" customWidth="1"/>
    <col min="5391" max="5391" width="9.85546875" style="240" customWidth="1"/>
    <col min="5392" max="5392" width="14.28515625" style="240" customWidth="1"/>
    <col min="5393" max="5393" width="8.85546875" style="240" customWidth="1"/>
    <col min="5394" max="5394" width="12.7109375" style="240" customWidth="1"/>
    <col min="5395" max="5395" width="9.85546875" style="240" customWidth="1"/>
    <col min="5396" max="5396" width="9.7109375" style="240" customWidth="1"/>
    <col min="5397" max="5397" width="9.85546875" style="240" customWidth="1"/>
    <col min="5398" max="5398" width="8.28515625" style="240" customWidth="1"/>
    <col min="5399" max="5399" width="12.7109375" style="240" customWidth="1"/>
    <col min="5400" max="5400" width="11.42578125" style="240" customWidth="1"/>
    <col min="5401" max="5401" width="10.140625" style="240" customWidth="1"/>
    <col min="5402" max="5402" width="13.28515625" style="240" customWidth="1"/>
    <col min="5403" max="5403" width="14.85546875" style="240" customWidth="1"/>
    <col min="5404" max="5404" width="15.42578125" style="240" customWidth="1"/>
    <col min="5405" max="5405" width="12.7109375" style="240" customWidth="1"/>
    <col min="5406" max="5406" width="14" style="240" customWidth="1"/>
    <col min="5407" max="5407" width="14.28515625" style="240" customWidth="1"/>
    <col min="5408" max="5409" width="13.7109375" style="240" customWidth="1"/>
    <col min="5410" max="5410" width="14.140625" style="240" customWidth="1"/>
    <col min="5411" max="5632" width="9.140625" style="240"/>
    <col min="5633" max="5633" width="4.140625" style="240" customWidth="1"/>
    <col min="5634" max="5634" width="33.28515625" style="240" customWidth="1"/>
    <col min="5635" max="5635" width="8.85546875" style="240" customWidth="1"/>
    <col min="5636" max="5636" width="11.140625" style="240" customWidth="1"/>
    <col min="5637" max="5637" width="7.85546875" style="240" customWidth="1"/>
    <col min="5638" max="5638" width="12.5703125" style="240" customWidth="1"/>
    <col min="5639" max="5639" width="11.7109375" style="240" customWidth="1"/>
    <col min="5640" max="5640" width="7.7109375" style="240" customWidth="1"/>
    <col min="5641" max="5641" width="15" style="240" customWidth="1"/>
    <col min="5642" max="5642" width="14.42578125" style="240" customWidth="1"/>
    <col min="5643" max="5643" width="9" style="240" customWidth="1"/>
    <col min="5644" max="5644" width="13.7109375" style="240" customWidth="1"/>
    <col min="5645" max="5645" width="12.140625" style="240" customWidth="1"/>
    <col min="5646" max="5646" width="10.5703125" style="240" customWidth="1"/>
    <col min="5647" max="5647" width="9.85546875" style="240" customWidth="1"/>
    <col min="5648" max="5648" width="14.28515625" style="240" customWidth="1"/>
    <col min="5649" max="5649" width="8.85546875" style="240" customWidth="1"/>
    <col min="5650" max="5650" width="12.7109375" style="240" customWidth="1"/>
    <col min="5651" max="5651" width="9.85546875" style="240" customWidth="1"/>
    <col min="5652" max="5652" width="9.7109375" style="240" customWidth="1"/>
    <col min="5653" max="5653" width="9.85546875" style="240" customWidth="1"/>
    <col min="5654" max="5654" width="8.28515625" style="240" customWidth="1"/>
    <col min="5655" max="5655" width="12.7109375" style="240" customWidth="1"/>
    <col min="5656" max="5656" width="11.42578125" style="240" customWidth="1"/>
    <col min="5657" max="5657" width="10.140625" style="240" customWidth="1"/>
    <col min="5658" max="5658" width="13.28515625" style="240" customWidth="1"/>
    <col min="5659" max="5659" width="14.85546875" style="240" customWidth="1"/>
    <col min="5660" max="5660" width="15.42578125" style="240" customWidth="1"/>
    <col min="5661" max="5661" width="12.7109375" style="240" customWidth="1"/>
    <col min="5662" max="5662" width="14" style="240" customWidth="1"/>
    <col min="5663" max="5663" width="14.28515625" style="240" customWidth="1"/>
    <col min="5664" max="5665" width="13.7109375" style="240" customWidth="1"/>
    <col min="5666" max="5666" width="14.140625" style="240" customWidth="1"/>
    <col min="5667" max="5888" width="9.140625" style="240"/>
    <col min="5889" max="5889" width="4.140625" style="240" customWidth="1"/>
    <col min="5890" max="5890" width="33.28515625" style="240" customWidth="1"/>
    <col min="5891" max="5891" width="8.85546875" style="240" customWidth="1"/>
    <col min="5892" max="5892" width="11.140625" style="240" customWidth="1"/>
    <col min="5893" max="5893" width="7.85546875" style="240" customWidth="1"/>
    <col min="5894" max="5894" width="12.5703125" style="240" customWidth="1"/>
    <col min="5895" max="5895" width="11.7109375" style="240" customWidth="1"/>
    <col min="5896" max="5896" width="7.7109375" style="240" customWidth="1"/>
    <col min="5897" max="5897" width="15" style="240" customWidth="1"/>
    <col min="5898" max="5898" width="14.42578125" style="240" customWidth="1"/>
    <col min="5899" max="5899" width="9" style="240" customWidth="1"/>
    <col min="5900" max="5900" width="13.7109375" style="240" customWidth="1"/>
    <col min="5901" max="5901" width="12.140625" style="240" customWidth="1"/>
    <col min="5902" max="5902" width="10.5703125" style="240" customWidth="1"/>
    <col min="5903" max="5903" width="9.85546875" style="240" customWidth="1"/>
    <col min="5904" max="5904" width="14.28515625" style="240" customWidth="1"/>
    <col min="5905" max="5905" width="8.85546875" style="240" customWidth="1"/>
    <col min="5906" max="5906" width="12.7109375" style="240" customWidth="1"/>
    <col min="5907" max="5907" width="9.85546875" style="240" customWidth="1"/>
    <col min="5908" max="5908" width="9.7109375" style="240" customWidth="1"/>
    <col min="5909" max="5909" width="9.85546875" style="240" customWidth="1"/>
    <col min="5910" max="5910" width="8.28515625" style="240" customWidth="1"/>
    <col min="5911" max="5911" width="12.7109375" style="240" customWidth="1"/>
    <col min="5912" max="5912" width="11.42578125" style="240" customWidth="1"/>
    <col min="5913" max="5913" width="10.140625" style="240" customWidth="1"/>
    <col min="5914" max="5914" width="13.28515625" style="240" customWidth="1"/>
    <col min="5915" max="5915" width="14.85546875" style="240" customWidth="1"/>
    <col min="5916" max="5916" width="15.42578125" style="240" customWidth="1"/>
    <col min="5917" max="5917" width="12.7109375" style="240" customWidth="1"/>
    <col min="5918" max="5918" width="14" style="240" customWidth="1"/>
    <col min="5919" max="5919" width="14.28515625" style="240" customWidth="1"/>
    <col min="5920" max="5921" width="13.7109375" style="240" customWidth="1"/>
    <col min="5922" max="5922" width="14.140625" style="240" customWidth="1"/>
    <col min="5923" max="6144" width="9.140625" style="240"/>
    <col min="6145" max="6145" width="4.140625" style="240" customWidth="1"/>
    <col min="6146" max="6146" width="33.28515625" style="240" customWidth="1"/>
    <col min="6147" max="6147" width="8.85546875" style="240" customWidth="1"/>
    <col min="6148" max="6148" width="11.140625" style="240" customWidth="1"/>
    <col min="6149" max="6149" width="7.85546875" style="240" customWidth="1"/>
    <col min="6150" max="6150" width="12.5703125" style="240" customWidth="1"/>
    <col min="6151" max="6151" width="11.7109375" style="240" customWidth="1"/>
    <col min="6152" max="6152" width="7.7109375" style="240" customWidth="1"/>
    <col min="6153" max="6153" width="15" style="240" customWidth="1"/>
    <col min="6154" max="6154" width="14.42578125" style="240" customWidth="1"/>
    <col min="6155" max="6155" width="9" style="240" customWidth="1"/>
    <col min="6156" max="6156" width="13.7109375" style="240" customWidth="1"/>
    <col min="6157" max="6157" width="12.140625" style="240" customWidth="1"/>
    <col min="6158" max="6158" width="10.5703125" style="240" customWidth="1"/>
    <col min="6159" max="6159" width="9.85546875" style="240" customWidth="1"/>
    <col min="6160" max="6160" width="14.28515625" style="240" customWidth="1"/>
    <col min="6161" max="6161" width="8.85546875" style="240" customWidth="1"/>
    <col min="6162" max="6162" width="12.7109375" style="240" customWidth="1"/>
    <col min="6163" max="6163" width="9.85546875" style="240" customWidth="1"/>
    <col min="6164" max="6164" width="9.7109375" style="240" customWidth="1"/>
    <col min="6165" max="6165" width="9.85546875" style="240" customWidth="1"/>
    <col min="6166" max="6166" width="8.28515625" style="240" customWidth="1"/>
    <col min="6167" max="6167" width="12.7109375" style="240" customWidth="1"/>
    <col min="6168" max="6168" width="11.42578125" style="240" customWidth="1"/>
    <col min="6169" max="6169" width="10.140625" style="240" customWidth="1"/>
    <col min="6170" max="6170" width="13.28515625" style="240" customWidth="1"/>
    <col min="6171" max="6171" width="14.85546875" style="240" customWidth="1"/>
    <col min="6172" max="6172" width="15.42578125" style="240" customWidth="1"/>
    <col min="6173" max="6173" width="12.7109375" style="240" customWidth="1"/>
    <col min="6174" max="6174" width="14" style="240" customWidth="1"/>
    <col min="6175" max="6175" width="14.28515625" style="240" customWidth="1"/>
    <col min="6176" max="6177" width="13.7109375" style="240" customWidth="1"/>
    <col min="6178" max="6178" width="14.140625" style="240" customWidth="1"/>
    <col min="6179" max="6400" width="9.140625" style="240"/>
    <col min="6401" max="6401" width="4.140625" style="240" customWidth="1"/>
    <col min="6402" max="6402" width="33.28515625" style="240" customWidth="1"/>
    <col min="6403" max="6403" width="8.85546875" style="240" customWidth="1"/>
    <col min="6404" max="6404" width="11.140625" style="240" customWidth="1"/>
    <col min="6405" max="6405" width="7.85546875" style="240" customWidth="1"/>
    <col min="6406" max="6406" width="12.5703125" style="240" customWidth="1"/>
    <col min="6407" max="6407" width="11.7109375" style="240" customWidth="1"/>
    <col min="6408" max="6408" width="7.7109375" style="240" customWidth="1"/>
    <col min="6409" max="6409" width="15" style="240" customWidth="1"/>
    <col min="6410" max="6410" width="14.42578125" style="240" customWidth="1"/>
    <col min="6411" max="6411" width="9" style="240" customWidth="1"/>
    <col min="6412" max="6412" width="13.7109375" style="240" customWidth="1"/>
    <col min="6413" max="6413" width="12.140625" style="240" customWidth="1"/>
    <col min="6414" max="6414" width="10.5703125" style="240" customWidth="1"/>
    <col min="6415" max="6415" width="9.85546875" style="240" customWidth="1"/>
    <col min="6416" max="6416" width="14.28515625" style="240" customWidth="1"/>
    <col min="6417" max="6417" width="8.85546875" style="240" customWidth="1"/>
    <col min="6418" max="6418" width="12.7109375" style="240" customWidth="1"/>
    <col min="6419" max="6419" width="9.85546875" style="240" customWidth="1"/>
    <col min="6420" max="6420" width="9.7109375" style="240" customWidth="1"/>
    <col min="6421" max="6421" width="9.85546875" style="240" customWidth="1"/>
    <col min="6422" max="6422" width="8.28515625" style="240" customWidth="1"/>
    <col min="6423" max="6423" width="12.7109375" style="240" customWidth="1"/>
    <col min="6424" max="6424" width="11.42578125" style="240" customWidth="1"/>
    <col min="6425" max="6425" width="10.140625" style="240" customWidth="1"/>
    <col min="6426" max="6426" width="13.28515625" style="240" customWidth="1"/>
    <col min="6427" max="6427" width="14.85546875" style="240" customWidth="1"/>
    <col min="6428" max="6428" width="15.42578125" style="240" customWidth="1"/>
    <col min="6429" max="6429" width="12.7109375" style="240" customWidth="1"/>
    <col min="6430" max="6430" width="14" style="240" customWidth="1"/>
    <col min="6431" max="6431" width="14.28515625" style="240" customWidth="1"/>
    <col min="6432" max="6433" width="13.7109375" style="240" customWidth="1"/>
    <col min="6434" max="6434" width="14.140625" style="240" customWidth="1"/>
    <col min="6435" max="6656" width="9.140625" style="240"/>
    <col min="6657" max="6657" width="4.140625" style="240" customWidth="1"/>
    <col min="6658" max="6658" width="33.28515625" style="240" customWidth="1"/>
    <col min="6659" max="6659" width="8.85546875" style="240" customWidth="1"/>
    <col min="6660" max="6660" width="11.140625" style="240" customWidth="1"/>
    <col min="6661" max="6661" width="7.85546875" style="240" customWidth="1"/>
    <col min="6662" max="6662" width="12.5703125" style="240" customWidth="1"/>
    <col min="6663" max="6663" width="11.7109375" style="240" customWidth="1"/>
    <col min="6664" max="6664" width="7.7109375" style="240" customWidth="1"/>
    <col min="6665" max="6665" width="15" style="240" customWidth="1"/>
    <col min="6666" max="6666" width="14.42578125" style="240" customWidth="1"/>
    <col min="6667" max="6667" width="9" style="240" customWidth="1"/>
    <col min="6668" max="6668" width="13.7109375" style="240" customWidth="1"/>
    <col min="6669" max="6669" width="12.140625" style="240" customWidth="1"/>
    <col min="6670" max="6670" width="10.5703125" style="240" customWidth="1"/>
    <col min="6671" max="6671" width="9.85546875" style="240" customWidth="1"/>
    <col min="6672" max="6672" width="14.28515625" style="240" customWidth="1"/>
    <col min="6673" max="6673" width="8.85546875" style="240" customWidth="1"/>
    <col min="6674" max="6674" width="12.7109375" style="240" customWidth="1"/>
    <col min="6675" max="6675" width="9.85546875" style="240" customWidth="1"/>
    <col min="6676" max="6676" width="9.7109375" style="240" customWidth="1"/>
    <col min="6677" max="6677" width="9.85546875" style="240" customWidth="1"/>
    <col min="6678" max="6678" width="8.28515625" style="240" customWidth="1"/>
    <col min="6679" max="6679" width="12.7109375" style="240" customWidth="1"/>
    <col min="6680" max="6680" width="11.42578125" style="240" customWidth="1"/>
    <col min="6681" max="6681" width="10.140625" style="240" customWidth="1"/>
    <col min="6682" max="6682" width="13.28515625" style="240" customWidth="1"/>
    <col min="6683" max="6683" width="14.85546875" style="240" customWidth="1"/>
    <col min="6684" max="6684" width="15.42578125" style="240" customWidth="1"/>
    <col min="6685" max="6685" width="12.7109375" style="240" customWidth="1"/>
    <col min="6686" max="6686" width="14" style="240" customWidth="1"/>
    <col min="6687" max="6687" width="14.28515625" style="240" customWidth="1"/>
    <col min="6688" max="6689" width="13.7109375" style="240" customWidth="1"/>
    <col min="6690" max="6690" width="14.140625" style="240" customWidth="1"/>
    <col min="6691" max="6912" width="9.140625" style="240"/>
    <col min="6913" max="6913" width="4.140625" style="240" customWidth="1"/>
    <col min="6914" max="6914" width="33.28515625" style="240" customWidth="1"/>
    <col min="6915" max="6915" width="8.85546875" style="240" customWidth="1"/>
    <col min="6916" max="6916" width="11.140625" style="240" customWidth="1"/>
    <col min="6917" max="6917" width="7.85546875" style="240" customWidth="1"/>
    <col min="6918" max="6918" width="12.5703125" style="240" customWidth="1"/>
    <col min="6919" max="6919" width="11.7109375" style="240" customWidth="1"/>
    <col min="6920" max="6920" width="7.7109375" style="240" customWidth="1"/>
    <col min="6921" max="6921" width="15" style="240" customWidth="1"/>
    <col min="6922" max="6922" width="14.42578125" style="240" customWidth="1"/>
    <col min="6923" max="6923" width="9" style="240" customWidth="1"/>
    <col min="6924" max="6924" width="13.7109375" style="240" customWidth="1"/>
    <col min="6925" max="6925" width="12.140625" style="240" customWidth="1"/>
    <col min="6926" max="6926" width="10.5703125" style="240" customWidth="1"/>
    <col min="6927" max="6927" width="9.85546875" style="240" customWidth="1"/>
    <col min="6928" max="6928" width="14.28515625" style="240" customWidth="1"/>
    <col min="6929" max="6929" width="8.85546875" style="240" customWidth="1"/>
    <col min="6930" max="6930" width="12.7109375" style="240" customWidth="1"/>
    <col min="6931" max="6931" width="9.85546875" style="240" customWidth="1"/>
    <col min="6932" max="6932" width="9.7109375" style="240" customWidth="1"/>
    <col min="6933" max="6933" width="9.85546875" style="240" customWidth="1"/>
    <col min="6934" max="6934" width="8.28515625" style="240" customWidth="1"/>
    <col min="6935" max="6935" width="12.7109375" style="240" customWidth="1"/>
    <col min="6936" max="6936" width="11.42578125" style="240" customWidth="1"/>
    <col min="6937" max="6937" width="10.140625" style="240" customWidth="1"/>
    <col min="6938" max="6938" width="13.28515625" style="240" customWidth="1"/>
    <col min="6939" max="6939" width="14.85546875" style="240" customWidth="1"/>
    <col min="6940" max="6940" width="15.42578125" style="240" customWidth="1"/>
    <col min="6941" max="6941" width="12.7109375" style="240" customWidth="1"/>
    <col min="6942" max="6942" width="14" style="240" customWidth="1"/>
    <col min="6943" max="6943" width="14.28515625" style="240" customWidth="1"/>
    <col min="6944" max="6945" width="13.7109375" style="240" customWidth="1"/>
    <col min="6946" max="6946" width="14.140625" style="240" customWidth="1"/>
    <col min="6947" max="7168" width="9.140625" style="240"/>
    <col min="7169" max="7169" width="4.140625" style="240" customWidth="1"/>
    <col min="7170" max="7170" width="33.28515625" style="240" customWidth="1"/>
    <col min="7171" max="7171" width="8.85546875" style="240" customWidth="1"/>
    <col min="7172" max="7172" width="11.140625" style="240" customWidth="1"/>
    <col min="7173" max="7173" width="7.85546875" style="240" customWidth="1"/>
    <col min="7174" max="7174" width="12.5703125" style="240" customWidth="1"/>
    <col min="7175" max="7175" width="11.7109375" style="240" customWidth="1"/>
    <col min="7176" max="7176" width="7.7109375" style="240" customWidth="1"/>
    <col min="7177" max="7177" width="15" style="240" customWidth="1"/>
    <col min="7178" max="7178" width="14.42578125" style="240" customWidth="1"/>
    <col min="7179" max="7179" width="9" style="240" customWidth="1"/>
    <col min="7180" max="7180" width="13.7109375" style="240" customWidth="1"/>
    <col min="7181" max="7181" width="12.140625" style="240" customWidth="1"/>
    <col min="7182" max="7182" width="10.5703125" style="240" customWidth="1"/>
    <col min="7183" max="7183" width="9.85546875" style="240" customWidth="1"/>
    <col min="7184" max="7184" width="14.28515625" style="240" customWidth="1"/>
    <col min="7185" max="7185" width="8.85546875" style="240" customWidth="1"/>
    <col min="7186" max="7186" width="12.7109375" style="240" customWidth="1"/>
    <col min="7187" max="7187" width="9.85546875" style="240" customWidth="1"/>
    <col min="7188" max="7188" width="9.7109375" style="240" customWidth="1"/>
    <col min="7189" max="7189" width="9.85546875" style="240" customWidth="1"/>
    <col min="7190" max="7190" width="8.28515625" style="240" customWidth="1"/>
    <col min="7191" max="7191" width="12.7109375" style="240" customWidth="1"/>
    <col min="7192" max="7192" width="11.42578125" style="240" customWidth="1"/>
    <col min="7193" max="7193" width="10.140625" style="240" customWidth="1"/>
    <col min="7194" max="7194" width="13.28515625" style="240" customWidth="1"/>
    <col min="7195" max="7195" width="14.85546875" style="240" customWidth="1"/>
    <col min="7196" max="7196" width="15.42578125" style="240" customWidth="1"/>
    <col min="7197" max="7197" width="12.7109375" style="240" customWidth="1"/>
    <col min="7198" max="7198" width="14" style="240" customWidth="1"/>
    <col min="7199" max="7199" width="14.28515625" style="240" customWidth="1"/>
    <col min="7200" max="7201" width="13.7109375" style="240" customWidth="1"/>
    <col min="7202" max="7202" width="14.140625" style="240" customWidth="1"/>
    <col min="7203" max="7424" width="9.140625" style="240"/>
    <col min="7425" max="7425" width="4.140625" style="240" customWidth="1"/>
    <col min="7426" max="7426" width="33.28515625" style="240" customWidth="1"/>
    <col min="7427" max="7427" width="8.85546875" style="240" customWidth="1"/>
    <col min="7428" max="7428" width="11.140625" style="240" customWidth="1"/>
    <col min="7429" max="7429" width="7.85546875" style="240" customWidth="1"/>
    <col min="7430" max="7430" width="12.5703125" style="240" customWidth="1"/>
    <col min="7431" max="7431" width="11.7109375" style="240" customWidth="1"/>
    <col min="7432" max="7432" width="7.7109375" style="240" customWidth="1"/>
    <col min="7433" max="7433" width="15" style="240" customWidth="1"/>
    <col min="7434" max="7434" width="14.42578125" style="240" customWidth="1"/>
    <col min="7435" max="7435" width="9" style="240" customWidth="1"/>
    <col min="7436" max="7436" width="13.7109375" style="240" customWidth="1"/>
    <col min="7437" max="7437" width="12.140625" style="240" customWidth="1"/>
    <col min="7438" max="7438" width="10.5703125" style="240" customWidth="1"/>
    <col min="7439" max="7439" width="9.85546875" style="240" customWidth="1"/>
    <col min="7440" max="7440" width="14.28515625" style="240" customWidth="1"/>
    <col min="7441" max="7441" width="8.85546875" style="240" customWidth="1"/>
    <col min="7442" max="7442" width="12.7109375" style="240" customWidth="1"/>
    <col min="7443" max="7443" width="9.85546875" style="240" customWidth="1"/>
    <col min="7444" max="7444" width="9.7109375" style="240" customWidth="1"/>
    <col min="7445" max="7445" width="9.85546875" style="240" customWidth="1"/>
    <col min="7446" max="7446" width="8.28515625" style="240" customWidth="1"/>
    <col min="7447" max="7447" width="12.7109375" style="240" customWidth="1"/>
    <col min="7448" max="7448" width="11.42578125" style="240" customWidth="1"/>
    <col min="7449" max="7449" width="10.140625" style="240" customWidth="1"/>
    <col min="7450" max="7450" width="13.28515625" style="240" customWidth="1"/>
    <col min="7451" max="7451" width="14.85546875" style="240" customWidth="1"/>
    <col min="7452" max="7452" width="15.42578125" style="240" customWidth="1"/>
    <col min="7453" max="7453" width="12.7109375" style="240" customWidth="1"/>
    <col min="7454" max="7454" width="14" style="240" customWidth="1"/>
    <col min="7455" max="7455" width="14.28515625" style="240" customWidth="1"/>
    <col min="7456" max="7457" width="13.7109375" style="240" customWidth="1"/>
    <col min="7458" max="7458" width="14.140625" style="240" customWidth="1"/>
    <col min="7459" max="7680" width="9.140625" style="240"/>
    <col min="7681" max="7681" width="4.140625" style="240" customWidth="1"/>
    <col min="7682" max="7682" width="33.28515625" style="240" customWidth="1"/>
    <col min="7683" max="7683" width="8.85546875" style="240" customWidth="1"/>
    <col min="7684" max="7684" width="11.140625" style="240" customWidth="1"/>
    <col min="7685" max="7685" width="7.85546875" style="240" customWidth="1"/>
    <col min="7686" max="7686" width="12.5703125" style="240" customWidth="1"/>
    <col min="7687" max="7687" width="11.7109375" style="240" customWidth="1"/>
    <col min="7688" max="7688" width="7.7109375" style="240" customWidth="1"/>
    <col min="7689" max="7689" width="15" style="240" customWidth="1"/>
    <col min="7690" max="7690" width="14.42578125" style="240" customWidth="1"/>
    <col min="7691" max="7691" width="9" style="240" customWidth="1"/>
    <col min="7692" max="7692" width="13.7109375" style="240" customWidth="1"/>
    <col min="7693" max="7693" width="12.140625" style="240" customWidth="1"/>
    <col min="7694" max="7694" width="10.5703125" style="240" customWidth="1"/>
    <col min="7695" max="7695" width="9.85546875" style="240" customWidth="1"/>
    <col min="7696" max="7696" width="14.28515625" style="240" customWidth="1"/>
    <col min="7697" max="7697" width="8.85546875" style="240" customWidth="1"/>
    <col min="7698" max="7698" width="12.7109375" style="240" customWidth="1"/>
    <col min="7699" max="7699" width="9.85546875" style="240" customWidth="1"/>
    <col min="7700" max="7700" width="9.7109375" style="240" customWidth="1"/>
    <col min="7701" max="7701" width="9.85546875" style="240" customWidth="1"/>
    <col min="7702" max="7702" width="8.28515625" style="240" customWidth="1"/>
    <col min="7703" max="7703" width="12.7109375" style="240" customWidth="1"/>
    <col min="7704" max="7704" width="11.42578125" style="240" customWidth="1"/>
    <col min="7705" max="7705" width="10.140625" style="240" customWidth="1"/>
    <col min="7706" max="7706" width="13.28515625" style="240" customWidth="1"/>
    <col min="7707" max="7707" width="14.85546875" style="240" customWidth="1"/>
    <col min="7708" max="7708" width="15.42578125" style="240" customWidth="1"/>
    <col min="7709" max="7709" width="12.7109375" style="240" customWidth="1"/>
    <col min="7710" max="7710" width="14" style="240" customWidth="1"/>
    <col min="7711" max="7711" width="14.28515625" style="240" customWidth="1"/>
    <col min="7712" max="7713" width="13.7109375" style="240" customWidth="1"/>
    <col min="7714" max="7714" width="14.140625" style="240" customWidth="1"/>
    <col min="7715" max="7936" width="9.140625" style="240"/>
    <col min="7937" max="7937" width="4.140625" style="240" customWidth="1"/>
    <col min="7938" max="7938" width="33.28515625" style="240" customWidth="1"/>
    <col min="7939" max="7939" width="8.85546875" style="240" customWidth="1"/>
    <col min="7940" max="7940" width="11.140625" style="240" customWidth="1"/>
    <col min="7941" max="7941" width="7.85546875" style="240" customWidth="1"/>
    <col min="7942" max="7942" width="12.5703125" style="240" customWidth="1"/>
    <col min="7943" max="7943" width="11.7109375" style="240" customWidth="1"/>
    <col min="7944" max="7944" width="7.7109375" style="240" customWidth="1"/>
    <col min="7945" max="7945" width="15" style="240" customWidth="1"/>
    <col min="7946" max="7946" width="14.42578125" style="240" customWidth="1"/>
    <col min="7947" max="7947" width="9" style="240" customWidth="1"/>
    <col min="7948" max="7948" width="13.7109375" style="240" customWidth="1"/>
    <col min="7949" max="7949" width="12.140625" style="240" customWidth="1"/>
    <col min="7950" max="7950" width="10.5703125" style="240" customWidth="1"/>
    <col min="7951" max="7951" width="9.85546875" style="240" customWidth="1"/>
    <col min="7952" max="7952" width="14.28515625" style="240" customWidth="1"/>
    <col min="7953" max="7953" width="8.85546875" style="240" customWidth="1"/>
    <col min="7954" max="7954" width="12.7109375" style="240" customWidth="1"/>
    <col min="7955" max="7955" width="9.85546875" style="240" customWidth="1"/>
    <col min="7956" max="7956" width="9.7109375" style="240" customWidth="1"/>
    <col min="7957" max="7957" width="9.85546875" style="240" customWidth="1"/>
    <col min="7958" max="7958" width="8.28515625" style="240" customWidth="1"/>
    <col min="7959" max="7959" width="12.7109375" style="240" customWidth="1"/>
    <col min="7960" max="7960" width="11.42578125" style="240" customWidth="1"/>
    <col min="7961" max="7961" width="10.140625" style="240" customWidth="1"/>
    <col min="7962" max="7962" width="13.28515625" style="240" customWidth="1"/>
    <col min="7963" max="7963" width="14.85546875" style="240" customWidth="1"/>
    <col min="7964" max="7964" width="15.42578125" style="240" customWidth="1"/>
    <col min="7965" max="7965" width="12.7109375" style="240" customWidth="1"/>
    <col min="7966" max="7966" width="14" style="240" customWidth="1"/>
    <col min="7967" max="7967" width="14.28515625" style="240" customWidth="1"/>
    <col min="7968" max="7969" width="13.7109375" style="240" customWidth="1"/>
    <col min="7970" max="7970" width="14.140625" style="240" customWidth="1"/>
    <col min="7971" max="8192" width="9.140625" style="240"/>
    <col min="8193" max="8193" width="4.140625" style="240" customWidth="1"/>
    <col min="8194" max="8194" width="33.28515625" style="240" customWidth="1"/>
    <col min="8195" max="8195" width="8.85546875" style="240" customWidth="1"/>
    <col min="8196" max="8196" width="11.140625" style="240" customWidth="1"/>
    <col min="8197" max="8197" width="7.85546875" style="240" customWidth="1"/>
    <col min="8198" max="8198" width="12.5703125" style="240" customWidth="1"/>
    <col min="8199" max="8199" width="11.7109375" style="240" customWidth="1"/>
    <col min="8200" max="8200" width="7.7109375" style="240" customWidth="1"/>
    <col min="8201" max="8201" width="15" style="240" customWidth="1"/>
    <col min="8202" max="8202" width="14.42578125" style="240" customWidth="1"/>
    <col min="8203" max="8203" width="9" style="240" customWidth="1"/>
    <col min="8204" max="8204" width="13.7109375" style="240" customWidth="1"/>
    <col min="8205" max="8205" width="12.140625" style="240" customWidth="1"/>
    <col min="8206" max="8206" width="10.5703125" style="240" customWidth="1"/>
    <col min="8207" max="8207" width="9.85546875" style="240" customWidth="1"/>
    <col min="8208" max="8208" width="14.28515625" style="240" customWidth="1"/>
    <col min="8209" max="8209" width="8.85546875" style="240" customWidth="1"/>
    <col min="8210" max="8210" width="12.7109375" style="240" customWidth="1"/>
    <col min="8211" max="8211" width="9.85546875" style="240" customWidth="1"/>
    <col min="8212" max="8212" width="9.7109375" style="240" customWidth="1"/>
    <col min="8213" max="8213" width="9.85546875" style="240" customWidth="1"/>
    <col min="8214" max="8214" width="8.28515625" style="240" customWidth="1"/>
    <col min="8215" max="8215" width="12.7109375" style="240" customWidth="1"/>
    <col min="8216" max="8216" width="11.42578125" style="240" customWidth="1"/>
    <col min="8217" max="8217" width="10.140625" style="240" customWidth="1"/>
    <col min="8218" max="8218" width="13.28515625" style="240" customWidth="1"/>
    <col min="8219" max="8219" width="14.85546875" style="240" customWidth="1"/>
    <col min="8220" max="8220" width="15.42578125" style="240" customWidth="1"/>
    <col min="8221" max="8221" width="12.7109375" style="240" customWidth="1"/>
    <col min="8222" max="8222" width="14" style="240" customWidth="1"/>
    <col min="8223" max="8223" width="14.28515625" style="240" customWidth="1"/>
    <col min="8224" max="8225" width="13.7109375" style="240" customWidth="1"/>
    <col min="8226" max="8226" width="14.140625" style="240" customWidth="1"/>
    <col min="8227" max="8448" width="9.140625" style="240"/>
    <col min="8449" max="8449" width="4.140625" style="240" customWidth="1"/>
    <col min="8450" max="8450" width="33.28515625" style="240" customWidth="1"/>
    <col min="8451" max="8451" width="8.85546875" style="240" customWidth="1"/>
    <col min="8452" max="8452" width="11.140625" style="240" customWidth="1"/>
    <col min="8453" max="8453" width="7.85546875" style="240" customWidth="1"/>
    <col min="8454" max="8454" width="12.5703125" style="240" customWidth="1"/>
    <col min="8455" max="8455" width="11.7109375" style="240" customWidth="1"/>
    <col min="8456" max="8456" width="7.7109375" style="240" customWidth="1"/>
    <col min="8457" max="8457" width="15" style="240" customWidth="1"/>
    <col min="8458" max="8458" width="14.42578125" style="240" customWidth="1"/>
    <col min="8459" max="8459" width="9" style="240" customWidth="1"/>
    <col min="8460" max="8460" width="13.7109375" style="240" customWidth="1"/>
    <col min="8461" max="8461" width="12.140625" style="240" customWidth="1"/>
    <col min="8462" max="8462" width="10.5703125" style="240" customWidth="1"/>
    <col min="8463" max="8463" width="9.85546875" style="240" customWidth="1"/>
    <col min="8464" max="8464" width="14.28515625" style="240" customWidth="1"/>
    <col min="8465" max="8465" width="8.85546875" style="240" customWidth="1"/>
    <col min="8466" max="8466" width="12.7109375" style="240" customWidth="1"/>
    <col min="8467" max="8467" width="9.85546875" style="240" customWidth="1"/>
    <col min="8468" max="8468" width="9.7109375" style="240" customWidth="1"/>
    <col min="8469" max="8469" width="9.85546875" style="240" customWidth="1"/>
    <col min="8470" max="8470" width="8.28515625" style="240" customWidth="1"/>
    <col min="8471" max="8471" width="12.7109375" style="240" customWidth="1"/>
    <col min="8472" max="8472" width="11.42578125" style="240" customWidth="1"/>
    <col min="8473" max="8473" width="10.140625" style="240" customWidth="1"/>
    <col min="8474" max="8474" width="13.28515625" style="240" customWidth="1"/>
    <col min="8475" max="8475" width="14.85546875" style="240" customWidth="1"/>
    <col min="8476" max="8476" width="15.42578125" style="240" customWidth="1"/>
    <col min="8477" max="8477" width="12.7109375" style="240" customWidth="1"/>
    <col min="8478" max="8478" width="14" style="240" customWidth="1"/>
    <col min="8479" max="8479" width="14.28515625" style="240" customWidth="1"/>
    <col min="8480" max="8481" width="13.7109375" style="240" customWidth="1"/>
    <col min="8482" max="8482" width="14.140625" style="240" customWidth="1"/>
    <col min="8483" max="8704" width="9.140625" style="240"/>
    <col min="8705" max="8705" width="4.140625" style="240" customWidth="1"/>
    <col min="8706" max="8706" width="33.28515625" style="240" customWidth="1"/>
    <col min="8707" max="8707" width="8.85546875" style="240" customWidth="1"/>
    <col min="8708" max="8708" width="11.140625" style="240" customWidth="1"/>
    <col min="8709" max="8709" width="7.85546875" style="240" customWidth="1"/>
    <col min="8710" max="8710" width="12.5703125" style="240" customWidth="1"/>
    <col min="8711" max="8711" width="11.7109375" style="240" customWidth="1"/>
    <col min="8712" max="8712" width="7.7109375" style="240" customWidth="1"/>
    <col min="8713" max="8713" width="15" style="240" customWidth="1"/>
    <col min="8714" max="8714" width="14.42578125" style="240" customWidth="1"/>
    <col min="8715" max="8715" width="9" style="240" customWidth="1"/>
    <col min="8716" max="8716" width="13.7109375" style="240" customWidth="1"/>
    <col min="8717" max="8717" width="12.140625" style="240" customWidth="1"/>
    <col min="8718" max="8718" width="10.5703125" style="240" customWidth="1"/>
    <col min="8719" max="8719" width="9.85546875" style="240" customWidth="1"/>
    <col min="8720" max="8720" width="14.28515625" style="240" customWidth="1"/>
    <col min="8721" max="8721" width="8.85546875" style="240" customWidth="1"/>
    <col min="8722" max="8722" width="12.7109375" style="240" customWidth="1"/>
    <col min="8723" max="8723" width="9.85546875" style="240" customWidth="1"/>
    <col min="8724" max="8724" width="9.7109375" style="240" customWidth="1"/>
    <col min="8725" max="8725" width="9.85546875" style="240" customWidth="1"/>
    <col min="8726" max="8726" width="8.28515625" style="240" customWidth="1"/>
    <col min="8727" max="8727" width="12.7109375" style="240" customWidth="1"/>
    <col min="8728" max="8728" width="11.42578125" style="240" customWidth="1"/>
    <col min="8729" max="8729" width="10.140625" style="240" customWidth="1"/>
    <col min="8730" max="8730" width="13.28515625" style="240" customWidth="1"/>
    <col min="8731" max="8731" width="14.85546875" style="240" customWidth="1"/>
    <col min="8732" max="8732" width="15.42578125" style="240" customWidth="1"/>
    <col min="8733" max="8733" width="12.7109375" style="240" customWidth="1"/>
    <col min="8734" max="8734" width="14" style="240" customWidth="1"/>
    <col min="8735" max="8735" width="14.28515625" style="240" customWidth="1"/>
    <col min="8736" max="8737" width="13.7109375" style="240" customWidth="1"/>
    <col min="8738" max="8738" width="14.140625" style="240" customWidth="1"/>
    <col min="8739" max="8960" width="9.140625" style="240"/>
    <col min="8961" max="8961" width="4.140625" style="240" customWidth="1"/>
    <col min="8962" max="8962" width="33.28515625" style="240" customWidth="1"/>
    <col min="8963" max="8963" width="8.85546875" style="240" customWidth="1"/>
    <col min="8964" max="8964" width="11.140625" style="240" customWidth="1"/>
    <col min="8965" max="8965" width="7.85546875" style="240" customWidth="1"/>
    <col min="8966" max="8966" width="12.5703125" style="240" customWidth="1"/>
    <col min="8967" max="8967" width="11.7109375" style="240" customWidth="1"/>
    <col min="8968" max="8968" width="7.7109375" style="240" customWidth="1"/>
    <col min="8969" max="8969" width="15" style="240" customWidth="1"/>
    <col min="8970" max="8970" width="14.42578125" style="240" customWidth="1"/>
    <col min="8971" max="8971" width="9" style="240" customWidth="1"/>
    <col min="8972" max="8972" width="13.7109375" style="240" customWidth="1"/>
    <col min="8973" max="8973" width="12.140625" style="240" customWidth="1"/>
    <col min="8974" max="8974" width="10.5703125" style="240" customWidth="1"/>
    <col min="8975" max="8975" width="9.85546875" style="240" customWidth="1"/>
    <col min="8976" max="8976" width="14.28515625" style="240" customWidth="1"/>
    <col min="8977" max="8977" width="8.85546875" style="240" customWidth="1"/>
    <col min="8978" max="8978" width="12.7109375" style="240" customWidth="1"/>
    <col min="8979" max="8979" width="9.85546875" style="240" customWidth="1"/>
    <col min="8980" max="8980" width="9.7109375" style="240" customWidth="1"/>
    <col min="8981" max="8981" width="9.85546875" style="240" customWidth="1"/>
    <col min="8982" max="8982" width="8.28515625" style="240" customWidth="1"/>
    <col min="8983" max="8983" width="12.7109375" style="240" customWidth="1"/>
    <col min="8984" max="8984" width="11.42578125" style="240" customWidth="1"/>
    <col min="8985" max="8985" width="10.140625" style="240" customWidth="1"/>
    <col min="8986" max="8986" width="13.28515625" style="240" customWidth="1"/>
    <col min="8987" max="8987" width="14.85546875" style="240" customWidth="1"/>
    <col min="8988" max="8988" width="15.42578125" style="240" customWidth="1"/>
    <col min="8989" max="8989" width="12.7109375" style="240" customWidth="1"/>
    <col min="8990" max="8990" width="14" style="240" customWidth="1"/>
    <col min="8991" max="8991" width="14.28515625" style="240" customWidth="1"/>
    <col min="8992" max="8993" width="13.7109375" style="240" customWidth="1"/>
    <col min="8994" max="8994" width="14.140625" style="240" customWidth="1"/>
    <col min="8995" max="9216" width="9.140625" style="240"/>
    <col min="9217" max="9217" width="4.140625" style="240" customWidth="1"/>
    <col min="9218" max="9218" width="33.28515625" style="240" customWidth="1"/>
    <col min="9219" max="9219" width="8.85546875" style="240" customWidth="1"/>
    <col min="9220" max="9220" width="11.140625" style="240" customWidth="1"/>
    <col min="9221" max="9221" width="7.85546875" style="240" customWidth="1"/>
    <col min="9222" max="9222" width="12.5703125" style="240" customWidth="1"/>
    <col min="9223" max="9223" width="11.7109375" style="240" customWidth="1"/>
    <col min="9224" max="9224" width="7.7109375" style="240" customWidth="1"/>
    <col min="9225" max="9225" width="15" style="240" customWidth="1"/>
    <col min="9226" max="9226" width="14.42578125" style="240" customWidth="1"/>
    <col min="9227" max="9227" width="9" style="240" customWidth="1"/>
    <col min="9228" max="9228" width="13.7109375" style="240" customWidth="1"/>
    <col min="9229" max="9229" width="12.140625" style="240" customWidth="1"/>
    <col min="9230" max="9230" width="10.5703125" style="240" customWidth="1"/>
    <col min="9231" max="9231" width="9.85546875" style="240" customWidth="1"/>
    <col min="9232" max="9232" width="14.28515625" style="240" customWidth="1"/>
    <col min="9233" max="9233" width="8.85546875" style="240" customWidth="1"/>
    <col min="9234" max="9234" width="12.7109375" style="240" customWidth="1"/>
    <col min="9235" max="9235" width="9.85546875" style="240" customWidth="1"/>
    <col min="9236" max="9236" width="9.7109375" style="240" customWidth="1"/>
    <col min="9237" max="9237" width="9.85546875" style="240" customWidth="1"/>
    <col min="9238" max="9238" width="8.28515625" style="240" customWidth="1"/>
    <col min="9239" max="9239" width="12.7109375" style="240" customWidth="1"/>
    <col min="9240" max="9240" width="11.42578125" style="240" customWidth="1"/>
    <col min="9241" max="9241" width="10.140625" style="240" customWidth="1"/>
    <col min="9242" max="9242" width="13.28515625" style="240" customWidth="1"/>
    <col min="9243" max="9243" width="14.85546875" style="240" customWidth="1"/>
    <col min="9244" max="9244" width="15.42578125" style="240" customWidth="1"/>
    <col min="9245" max="9245" width="12.7109375" style="240" customWidth="1"/>
    <col min="9246" max="9246" width="14" style="240" customWidth="1"/>
    <col min="9247" max="9247" width="14.28515625" style="240" customWidth="1"/>
    <col min="9248" max="9249" width="13.7109375" style="240" customWidth="1"/>
    <col min="9250" max="9250" width="14.140625" style="240" customWidth="1"/>
    <col min="9251" max="9472" width="9.140625" style="240"/>
    <col min="9473" max="9473" width="4.140625" style="240" customWidth="1"/>
    <col min="9474" max="9474" width="33.28515625" style="240" customWidth="1"/>
    <col min="9475" max="9475" width="8.85546875" style="240" customWidth="1"/>
    <col min="9476" max="9476" width="11.140625" style="240" customWidth="1"/>
    <col min="9477" max="9477" width="7.85546875" style="240" customWidth="1"/>
    <col min="9478" max="9478" width="12.5703125" style="240" customWidth="1"/>
    <col min="9479" max="9479" width="11.7109375" style="240" customWidth="1"/>
    <col min="9480" max="9480" width="7.7109375" style="240" customWidth="1"/>
    <col min="9481" max="9481" width="15" style="240" customWidth="1"/>
    <col min="9482" max="9482" width="14.42578125" style="240" customWidth="1"/>
    <col min="9483" max="9483" width="9" style="240" customWidth="1"/>
    <col min="9484" max="9484" width="13.7109375" style="240" customWidth="1"/>
    <col min="9485" max="9485" width="12.140625" style="240" customWidth="1"/>
    <col min="9486" max="9486" width="10.5703125" style="240" customWidth="1"/>
    <col min="9487" max="9487" width="9.85546875" style="240" customWidth="1"/>
    <col min="9488" max="9488" width="14.28515625" style="240" customWidth="1"/>
    <col min="9489" max="9489" width="8.85546875" style="240" customWidth="1"/>
    <col min="9490" max="9490" width="12.7109375" style="240" customWidth="1"/>
    <col min="9491" max="9491" width="9.85546875" style="240" customWidth="1"/>
    <col min="9492" max="9492" width="9.7109375" style="240" customWidth="1"/>
    <col min="9493" max="9493" width="9.85546875" style="240" customWidth="1"/>
    <col min="9494" max="9494" width="8.28515625" style="240" customWidth="1"/>
    <col min="9495" max="9495" width="12.7109375" style="240" customWidth="1"/>
    <col min="9496" max="9496" width="11.42578125" style="240" customWidth="1"/>
    <col min="9497" max="9497" width="10.140625" style="240" customWidth="1"/>
    <col min="9498" max="9498" width="13.28515625" style="240" customWidth="1"/>
    <col min="9499" max="9499" width="14.85546875" style="240" customWidth="1"/>
    <col min="9500" max="9500" width="15.42578125" style="240" customWidth="1"/>
    <col min="9501" max="9501" width="12.7109375" style="240" customWidth="1"/>
    <col min="9502" max="9502" width="14" style="240" customWidth="1"/>
    <col min="9503" max="9503" width="14.28515625" style="240" customWidth="1"/>
    <col min="9504" max="9505" width="13.7109375" style="240" customWidth="1"/>
    <col min="9506" max="9506" width="14.140625" style="240" customWidth="1"/>
    <col min="9507" max="9728" width="9.140625" style="240"/>
    <col min="9729" max="9729" width="4.140625" style="240" customWidth="1"/>
    <col min="9730" max="9730" width="33.28515625" style="240" customWidth="1"/>
    <col min="9731" max="9731" width="8.85546875" style="240" customWidth="1"/>
    <col min="9732" max="9732" width="11.140625" style="240" customWidth="1"/>
    <col min="9733" max="9733" width="7.85546875" style="240" customWidth="1"/>
    <col min="9734" max="9734" width="12.5703125" style="240" customWidth="1"/>
    <col min="9735" max="9735" width="11.7109375" style="240" customWidth="1"/>
    <col min="9736" max="9736" width="7.7109375" style="240" customWidth="1"/>
    <col min="9737" max="9737" width="15" style="240" customWidth="1"/>
    <col min="9738" max="9738" width="14.42578125" style="240" customWidth="1"/>
    <col min="9739" max="9739" width="9" style="240" customWidth="1"/>
    <col min="9740" max="9740" width="13.7109375" style="240" customWidth="1"/>
    <col min="9741" max="9741" width="12.140625" style="240" customWidth="1"/>
    <col min="9742" max="9742" width="10.5703125" style="240" customWidth="1"/>
    <col min="9743" max="9743" width="9.85546875" style="240" customWidth="1"/>
    <col min="9744" max="9744" width="14.28515625" style="240" customWidth="1"/>
    <col min="9745" max="9745" width="8.85546875" style="240" customWidth="1"/>
    <col min="9746" max="9746" width="12.7109375" style="240" customWidth="1"/>
    <col min="9747" max="9747" width="9.85546875" style="240" customWidth="1"/>
    <col min="9748" max="9748" width="9.7109375" style="240" customWidth="1"/>
    <col min="9749" max="9749" width="9.85546875" style="240" customWidth="1"/>
    <col min="9750" max="9750" width="8.28515625" style="240" customWidth="1"/>
    <col min="9751" max="9751" width="12.7109375" style="240" customWidth="1"/>
    <col min="9752" max="9752" width="11.42578125" style="240" customWidth="1"/>
    <col min="9753" max="9753" width="10.140625" style="240" customWidth="1"/>
    <col min="9754" max="9754" width="13.28515625" style="240" customWidth="1"/>
    <col min="9755" max="9755" width="14.85546875" style="240" customWidth="1"/>
    <col min="9756" max="9756" width="15.42578125" style="240" customWidth="1"/>
    <col min="9757" max="9757" width="12.7109375" style="240" customWidth="1"/>
    <col min="9758" max="9758" width="14" style="240" customWidth="1"/>
    <col min="9759" max="9759" width="14.28515625" style="240" customWidth="1"/>
    <col min="9760" max="9761" width="13.7109375" style="240" customWidth="1"/>
    <col min="9762" max="9762" width="14.140625" style="240" customWidth="1"/>
    <col min="9763" max="9984" width="9.140625" style="240"/>
    <col min="9985" max="9985" width="4.140625" style="240" customWidth="1"/>
    <col min="9986" max="9986" width="33.28515625" style="240" customWidth="1"/>
    <col min="9987" max="9987" width="8.85546875" style="240" customWidth="1"/>
    <col min="9988" max="9988" width="11.140625" style="240" customWidth="1"/>
    <col min="9989" max="9989" width="7.85546875" style="240" customWidth="1"/>
    <col min="9990" max="9990" width="12.5703125" style="240" customWidth="1"/>
    <col min="9991" max="9991" width="11.7109375" style="240" customWidth="1"/>
    <col min="9992" max="9992" width="7.7109375" style="240" customWidth="1"/>
    <col min="9993" max="9993" width="15" style="240" customWidth="1"/>
    <col min="9994" max="9994" width="14.42578125" style="240" customWidth="1"/>
    <col min="9995" max="9995" width="9" style="240" customWidth="1"/>
    <col min="9996" max="9996" width="13.7109375" style="240" customWidth="1"/>
    <col min="9997" max="9997" width="12.140625" style="240" customWidth="1"/>
    <col min="9998" max="9998" width="10.5703125" style="240" customWidth="1"/>
    <col min="9999" max="9999" width="9.85546875" style="240" customWidth="1"/>
    <col min="10000" max="10000" width="14.28515625" style="240" customWidth="1"/>
    <col min="10001" max="10001" width="8.85546875" style="240" customWidth="1"/>
    <col min="10002" max="10002" width="12.7109375" style="240" customWidth="1"/>
    <col min="10003" max="10003" width="9.85546875" style="240" customWidth="1"/>
    <col min="10004" max="10004" width="9.7109375" style="240" customWidth="1"/>
    <col min="10005" max="10005" width="9.85546875" style="240" customWidth="1"/>
    <col min="10006" max="10006" width="8.28515625" style="240" customWidth="1"/>
    <col min="10007" max="10007" width="12.7109375" style="240" customWidth="1"/>
    <col min="10008" max="10008" width="11.42578125" style="240" customWidth="1"/>
    <col min="10009" max="10009" width="10.140625" style="240" customWidth="1"/>
    <col min="10010" max="10010" width="13.28515625" style="240" customWidth="1"/>
    <col min="10011" max="10011" width="14.85546875" style="240" customWidth="1"/>
    <col min="10012" max="10012" width="15.42578125" style="240" customWidth="1"/>
    <col min="10013" max="10013" width="12.7109375" style="240" customWidth="1"/>
    <col min="10014" max="10014" width="14" style="240" customWidth="1"/>
    <col min="10015" max="10015" width="14.28515625" style="240" customWidth="1"/>
    <col min="10016" max="10017" width="13.7109375" style="240" customWidth="1"/>
    <col min="10018" max="10018" width="14.140625" style="240" customWidth="1"/>
    <col min="10019" max="10240" width="9.140625" style="240"/>
    <col min="10241" max="10241" width="4.140625" style="240" customWidth="1"/>
    <col min="10242" max="10242" width="33.28515625" style="240" customWidth="1"/>
    <col min="10243" max="10243" width="8.85546875" style="240" customWidth="1"/>
    <col min="10244" max="10244" width="11.140625" style="240" customWidth="1"/>
    <col min="10245" max="10245" width="7.85546875" style="240" customWidth="1"/>
    <col min="10246" max="10246" width="12.5703125" style="240" customWidth="1"/>
    <col min="10247" max="10247" width="11.7109375" style="240" customWidth="1"/>
    <col min="10248" max="10248" width="7.7109375" style="240" customWidth="1"/>
    <col min="10249" max="10249" width="15" style="240" customWidth="1"/>
    <col min="10250" max="10250" width="14.42578125" style="240" customWidth="1"/>
    <col min="10251" max="10251" width="9" style="240" customWidth="1"/>
    <col min="10252" max="10252" width="13.7109375" style="240" customWidth="1"/>
    <col min="10253" max="10253" width="12.140625" style="240" customWidth="1"/>
    <col min="10254" max="10254" width="10.5703125" style="240" customWidth="1"/>
    <col min="10255" max="10255" width="9.85546875" style="240" customWidth="1"/>
    <col min="10256" max="10256" width="14.28515625" style="240" customWidth="1"/>
    <col min="10257" max="10257" width="8.85546875" style="240" customWidth="1"/>
    <col min="10258" max="10258" width="12.7109375" style="240" customWidth="1"/>
    <col min="10259" max="10259" width="9.85546875" style="240" customWidth="1"/>
    <col min="10260" max="10260" width="9.7109375" style="240" customWidth="1"/>
    <col min="10261" max="10261" width="9.85546875" style="240" customWidth="1"/>
    <col min="10262" max="10262" width="8.28515625" style="240" customWidth="1"/>
    <col min="10263" max="10263" width="12.7109375" style="240" customWidth="1"/>
    <col min="10264" max="10264" width="11.42578125" style="240" customWidth="1"/>
    <col min="10265" max="10265" width="10.140625" style="240" customWidth="1"/>
    <col min="10266" max="10266" width="13.28515625" style="240" customWidth="1"/>
    <col min="10267" max="10267" width="14.85546875" style="240" customWidth="1"/>
    <col min="10268" max="10268" width="15.42578125" style="240" customWidth="1"/>
    <col min="10269" max="10269" width="12.7109375" style="240" customWidth="1"/>
    <col min="10270" max="10270" width="14" style="240" customWidth="1"/>
    <col min="10271" max="10271" width="14.28515625" style="240" customWidth="1"/>
    <col min="10272" max="10273" width="13.7109375" style="240" customWidth="1"/>
    <col min="10274" max="10274" width="14.140625" style="240" customWidth="1"/>
    <col min="10275" max="10496" width="9.140625" style="240"/>
    <col min="10497" max="10497" width="4.140625" style="240" customWidth="1"/>
    <col min="10498" max="10498" width="33.28515625" style="240" customWidth="1"/>
    <col min="10499" max="10499" width="8.85546875" style="240" customWidth="1"/>
    <col min="10500" max="10500" width="11.140625" style="240" customWidth="1"/>
    <col min="10501" max="10501" width="7.85546875" style="240" customWidth="1"/>
    <col min="10502" max="10502" width="12.5703125" style="240" customWidth="1"/>
    <col min="10503" max="10503" width="11.7109375" style="240" customWidth="1"/>
    <col min="10504" max="10504" width="7.7109375" style="240" customWidth="1"/>
    <col min="10505" max="10505" width="15" style="240" customWidth="1"/>
    <col min="10506" max="10506" width="14.42578125" style="240" customWidth="1"/>
    <col min="10507" max="10507" width="9" style="240" customWidth="1"/>
    <col min="10508" max="10508" width="13.7109375" style="240" customWidth="1"/>
    <col min="10509" max="10509" width="12.140625" style="240" customWidth="1"/>
    <col min="10510" max="10510" width="10.5703125" style="240" customWidth="1"/>
    <col min="10511" max="10511" width="9.85546875" style="240" customWidth="1"/>
    <col min="10512" max="10512" width="14.28515625" style="240" customWidth="1"/>
    <col min="10513" max="10513" width="8.85546875" style="240" customWidth="1"/>
    <col min="10514" max="10514" width="12.7109375" style="240" customWidth="1"/>
    <col min="10515" max="10515" width="9.85546875" style="240" customWidth="1"/>
    <col min="10516" max="10516" width="9.7109375" style="240" customWidth="1"/>
    <col min="10517" max="10517" width="9.85546875" style="240" customWidth="1"/>
    <col min="10518" max="10518" width="8.28515625" style="240" customWidth="1"/>
    <col min="10519" max="10519" width="12.7109375" style="240" customWidth="1"/>
    <col min="10520" max="10520" width="11.42578125" style="240" customWidth="1"/>
    <col min="10521" max="10521" width="10.140625" style="240" customWidth="1"/>
    <col min="10522" max="10522" width="13.28515625" style="240" customWidth="1"/>
    <col min="10523" max="10523" width="14.85546875" style="240" customWidth="1"/>
    <col min="10524" max="10524" width="15.42578125" style="240" customWidth="1"/>
    <col min="10525" max="10525" width="12.7109375" style="240" customWidth="1"/>
    <col min="10526" max="10526" width="14" style="240" customWidth="1"/>
    <col min="10527" max="10527" width="14.28515625" style="240" customWidth="1"/>
    <col min="10528" max="10529" width="13.7109375" style="240" customWidth="1"/>
    <col min="10530" max="10530" width="14.140625" style="240" customWidth="1"/>
    <col min="10531" max="10752" width="9.140625" style="240"/>
    <col min="10753" max="10753" width="4.140625" style="240" customWidth="1"/>
    <col min="10754" max="10754" width="33.28515625" style="240" customWidth="1"/>
    <col min="10755" max="10755" width="8.85546875" style="240" customWidth="1"/>
    <col min="10756" max="10756" width="11.140625" style="240" customWidth="1"/>
    <col min="10757" max="10757" width="7.85546875" style="240" customWidth="1"/>
    <col min="10758" max="10758" width="12.5703125" style="240" customWidth="1"/>
    <col min="10759" max="10759" width="11.7109375" style="240" customWidth="1"/>
    <col min="10760" max="10760" width="7.7109375" style="240" customWidth="1"/>
    <col min="10761" max="10761" width="15" style="240" customWidth="1"/>
    <col min="10762" max="10762" width="14.42578125" style="240" customWidth="1"/>
    <col min="10763" max="10763" width="9" style="240" customWidth="1"/>
    <col min="10764" max="10764" width="13.7109375" style="240" customWidth="1"/>
    <col min="10765" max="10765" width="12.140625" style="240" customWidth="1"/>
    <col min="10766" max="10766" width="10.5703125" style="240" customWidth="1"/>
    <col min="10767" max="10767" width="9.85546875" style="240" customWidth="1"/>
    <col min="10768" max="10768" width="14.28515625" style="240" customWidth="1"/>
    <col min="10769" max="10769" width="8.85546875" style="240" customWidth="1"/>
    <col min="10770" max="10770" width="12.7109375" style="240" customWidth="1"/>
    <col min="10771" max="10771" width="9.85546875" style="240" customWidth="1"/>
    <col min="10772" max="10772" width="9.7109375" style="240" customWidth="1"/>
    <col min="10773" max="10773" width="9.85546875" style="240" customWidth="1"/>
    <col min="10774" max="10774" width="8.28515625" style="240" customWidth="1"/>
    <col min="10775" max="10775" width="12.7109375" style="240" customWidth="1"/>
    <col min="10776" max="10776" width="11.42578125" style="240" customWidth="1"/>
    <col min="10777" max="10777" width="10.140625" style="240" customWidth="1"/>
    <col min="10778" max="10778" width="13.28515625" style="240" customWidth="1"/>
    <col min="10779" max="10779" width="14.85546875" style="240" customWidth="1"/>
    <col min="10780" max="10780" width="15.42578125" style="240" customWidth="1"/>
    <col min="10781" max="10781" width="12.7109375" style="240" customWidth="1"/>
    <col min="10782" max="10782" width="14" style="240" customWidth="1"/>
    <col min="10783" max="10783" width="14.28515625" style="240" customWidth="1"/>
    <col min="10784" max="10785" width="13.7109375" style="240" customWidth="1"/>
    <col min="10786" max="10786" width="14.140625" style="240" customWidth="1"/>
    <col min="10787" max="11008" width="9.140625" style="240"/>
    <col min="11009" max="11009" width="4.140625" style="240" customWidth="1"/>
    <col min="11010" max="11010" width="33.28515625" style="240" customWidth="1"/>
    <col min="11011" max="11011" width="8.85546875" style="240" customWidth="1"/>
    <col min="11012" max="11012" width="11.140625" style="240" customWidth="1"/>
    <col min="11013" max="11013" width="7.85546875" style="240" customWidth="1"/>
    <col min="11014" max="11014" width="12.5703125" style="240" customWidth="1"/>
    <col min="11015" max="11015" width="11.7109375" style="240" customWidth="1"/>
    <col min="11016" max="11016" width="7.7109375" style="240" customWidth="1"/>
    <col min="11017" max="11017" width="15" style="240" customWidth="1"/>
    <col min="11018" max="11018" width="14.42578125" style="240" customWidth="1"/>
    <col min="11019" max="11019" width="9" style="240" customWidth="1"/>
    <col min="11020" max="11020" width="13.7109375" style="240" customWidth="1"/>
    <col min="11021" max="11021" width="12.140625" style="240" customWidth="1"/>
    <col min="11022" max="11022" width="10.5703125" style="240" customWidth="1"/>
    <col min="11023" max="11023" width="9.85546875" style="240" customWidth="1"/>
    <col min="11024" max="11024" width="14.28515625" style="240" customWidth="1"/>
    <col min="11025" max="11025" width="8.85546875" style="240" customWidth="1"/>
    <col min="11026" max="11026" width="12.7109375" style="240" customWidth="1"/>
    <col min="11027" max="11027" width="9.85546875" style="240" customWidth="1"/>
    <col min="11028" max="11028" width="9.7109375" style="240" customWidth="1"/>
    <col min="11029" max="11029" width="9.85546875" style="240" customWidth="1"/>
    <col min="11030" max="11030" width="8.28515625" style="240" customWidth="1"/>
    <col min="11031" max="11031" width="12.7109375" style="240" customWidth="1"/>
    <col min="11032" max="11032" width="11.42578125" style="240" customWidth="1"/>
    <col min="11033" max="11033" width="10.140625" style="240" customWidth="1"/>
    <col min="11034" max="11034" width="13.28515625" style="240" customWidth="1"/>
    <col min="11035" max="11035" width="14.85546875" style="240" customWidth="1"/>
    <col min="11036" max="11036" width="15.42578125" style="240" customWidth="1"/>
    <col min="11037" max="11037" width="12.7109375" style="240" customWidth="1"/>
    <col min="11038" max="11038" width="14" style="240" customWidth="1"/>
    <col min="11039" max="11039" width="14.28515625" style="240" customWidth="1"/>
    <col min="11040" max="11041" width="13.7109375" style="240" customWidth="1"/>
    <col min="11042" max="11042" width="14.140625" style="240" customWidth="1"/>
    <col min="11043" max="11264" width="9.140625" style="240"/>
    <col min="11265" max="11265" width="4.140625" style="240" customWidth="1"/>
    <col min="11266" max="11266" width="33.28515625" style="240" customWidth="1"/>
    <col min="11267" max="11267" width="8.85546875" style="240" customWidth="1"/>
    <col min="11268" max="11268" width="11.140625" style="240" customWidth="1"/>
    <col min="11269" max="11269" width="7.85546875" style="240" customWidth="1"/>
    <col min="11270" max="11270" width="12.5703125" style="240" customWidth="1"/>
    <col min="11271" max="11271" width="11.7109375" style="240" customWidth="1"/>
    <col min="11272" max="11272" width="7.7109375" style="240" customWidth="1"/>
    <col min="11273" max="11273" width="15" style="240" customWidth="1"/>
    <col min="11274" max="11274" width="14.42578125" style="240" customWidth="1"/>
    <col min="11275" max="11275" width="9" style="240" customWidth="1"/>
    <col min="11276" max="11276" width="13.7109375" style="240" customWidth="1"/>
    <col min="11277" max="11277" width="12.140625" style="240" customWidth="1"/>
    <col min="11278" max="11278" width="10.5703125" style="240" customWidth="1"/>
    <col min="11279" max="11279" width="9.85546875" style="240" customWidth="1"/>
    <col min="11280" max="11280" width="14.28515625" style="240" customWidth="1"/>
    <col min="11281" max="11281" width="8.85546875" style="240" customWidth="1"/>
    <col min="11282" max="11282" width="12.7109375" style="240" customWidth="1"/>
    <col min="11283" max="11283" width="9.85546875" style="240" customWidth="1"/>
    <col min="11284" max="11284" width="9.7109375" style="240" customWidth="1"/>
    <col min="11285" max="11285" width="9.85546875" style="240" customWidth="1"/>
    <col min="11286" max="11286" width="8.28515625" style="240" customWidth="1"/>
    <col min="11287" max="11287" width="12.7109375" style="240" customWidth="1"/>
    <col min="11288" max="11288" width="11.42578125" style="240" customWidth="1"/>
    <col min="11289" max="11289" width="10.140625" style="240" customWidth="1"/>
    <col min="11290" max="11290" width="13.28515625" style="240" customWidth="1"/>
    <col min="11291" max="11291" width="14.85546875" style="240" customWidth="1"/>
    <col min="11292" max="11292" width="15.42578125" style="240" customWidth="1"/>
    <col min="11293" max="11293" width="12.7109375" style="240" customWidth="1"/>
    <col min="11294" max="11294" width="14" style="240" customWidth="1"/>
    <col min="11295" max="11295" width="14.28515625" style="240" customWidth="1"/>
    <col min="11296" max="11297" width="13.7109375" style="240" customWidth="1"/>
    <col min="11298" max="11298" width="14.140625" style="240" customWidth="1"/>
    <col min="11299" max="11520" width="9.140625" style="240"/>
    <col min="11521" max="11521" width="4.140625" style="240" customWidth="1"/>
    <col min="11522" max="11522" width="33.28515625" style="240" customWidth="1"/>
    <col min="11523" max="11523" width="8.85546875" style="240" customWidth="1"/>
    <col min="11524" max="11524" width="11.140625" style="240" customWidth="1"/>
    <col min="11525" max="11525" width="7.85546875" style="240" customWidth="1"/>
    <col min="11526" max="11526" width="12.5703125" style="240" customWidth="1"/>
    <col min="11527" max="11527" width="11.7109375" style="240" customWidth="1"/>
    <col min="11528" max="11528" width="7.7109375" style="240" customWidth="1"/>
    <col min="11529" max="11529" width="15" style="240" customWidth="1"/>
    <col min="11530" max="11530" width="14.42578125" style="240" customWidth="1"/>
    <col min="11531" max="11531" width="9" style="240" customWidth="1"/>
    <col min="11532" max="11532" width="13.7109375" style="240" customWidth="1"/>
    <col min="11533" max="11533" width="12.140625" style="240" customWidth="1"/>
    <col min="11534" max="11534" width="10.5703125" style="240" customWidth="1"/>
    <col min="11535" max="11535" width="9.85546875" style="240" customWidth="1"/>
    <col min="11536" max="11536" width="14.28515625" style="240" customWidth="1"/>
    <col min="11537" max="11537" width="8.85546875" style="240" customWidth="1"/>
    <col min="11538" max="11538" width="12.7109375" style="240" customWidth="1"/>
    <col min="11539" max="11539" width="9.85546875" style="240" customWidth="1"/>
    <col min="11540" max="11540" width="9.7109375" style="240" customWidth="1"/>
    <col min="11541" max="11541" width="9.85546875" style="240" customWidth="1"/>
    <col min="11542" max="11542" width="8.28515625" style="240" customWidth="1"/>
    <col min="11543" max="11543" width="12.7109375" style="240" customWidth="1"/>
    <col min="11544" max="11544" width="11.42578125" style="240" customWidth="1"/>
    <col min="11545" max="11545" width="10.140625" style="240" customWidth="1"/>
    <col min="11546" max="11546" width="13.28515625" style="240" customWidth="1"/>
    <col min="11547" max="11547" width="14.85546875" style="240" customWidth="1"/>
    <col min="11548" max="11548" width="15.42578125" style="240" customWidth="1"/>
    <col min="11549" max="11549" width="12.7109375" style="240" customWidth="1"/>
    <col min="11550" max="11550" width="14" style="240" customWidth="1"/>
    <col min="11551" max="11551" width="14.28515625" style="240" customWidth="1"/>
    <col min="11552" max="11553" width="13.7109375" style="240" customWidth="1"/>
    <col min="11554" max="11554" width="14.140625" style="240" customWidth="1"/>
    <col min="11555" max="11776" width="9.140625" style="240"/>
    <col min="11777" max="11777" width="4.140625" style="240" customWidth="1"/>
    <col min="11778" max="11778" width="33.28515625" style="240" customWidth="1"/>
    <col min="11779" max="11779" width="8.85546875" style="240" customWidth="1"/>
    <col min="11780" max="11780" width="11.140625" style="240" customWidth="1"/>
    <col min="11781" max="11781" width="7.85546875" style="240" customWidth="1"/>
    <col min="11782" max="11782" width="12.5703125" style="240" customWidth="1"/>
    <col min="11783" max="11783" width="11.7109375" style="240" customWidth="1"/>
    <col min="11784" max="11784" width="7.7109375" style="240" customWidth="1"/>
    <col min="11785" max="11785" width="15" style="240" customWidth="1"/>
    <col min="11786" max="11786" width="14.42578125" style="240" customWidth="1"/>
    <col min="11787" max="11787" width="9" style="240" customWidth="1"/>
    <col min="11788" max="11788" width="13.7109375" style="240" customWidth="1"/>
    <col min="11789" max="11789" width="12.140625" style="240" customWidth="1"/>
    <col min="11790" max="11790" width="10.5703125" style="240" customWidth="1"/>
    <col min="11791" max="11791" width="9.85546875" style="240" customWidth="1"/>
    <col min="11792" max="11792" width="14.28515625" style="240" customWidth="1"/>
    <col min="11793" max="11793" width="8.85546875" style="240" customWidth="1"/>
    <col min="11794" max="11794" width="12.7109375" style="240" customWidth="1"/>
    <col min="11795" max="11795" width="9.85546875" style="240" customWidth="1"/>
    <col min="11796" max="11796" width="9.7109375" style="240" customWidth="1"/>
    <col min="11797" max="11797" width="9.85546875" style="240" customWidth="1"/>
    <col min="11798" max="11798" width="8.28515625" style="240" customWidth="1"/>
    <col min="11799" max="11799" width="12.7109375" style="240" customWidth="1"/>
    <col min="11800" max="11800" width="11.42578125" style="240" customWidth="1"/>
    <col min="11801" max="11801" width="10.140625" style="240" customWidth="1"/>
    <col min="11802" max="11802" width="13.28515625" style="240" customWidth="1"/>
    <col min="11803" max="11803" width="14.85546875" style="240" customWidth="1"/>
    <col min="11804" max="11804" width="15.42578125" style="240" customWidth="1"/>
    <col min="11805" max="11805" width="12.7109375" style="240" customWidth="1"/>
    <col min="11806" max="11806" width="14" style="240" customWidth="1"/>
    <col min="11807" max="11807" width="14.28515625" style="240" customWidth="1"/>
    <col min="11808" max="11809" width="13.7109375" style="240" customWidth="1"/>
    <col min="11810" max="11810" width="14.140625" style="240" customWidth="1"/>
    <col min="11811" max="12032" width="9.140625" style="240"/>
    <col min="12033" max="12033" width="4.140625" style="240" customWidth="1"/>
    <col min="12034" max="12034" width="33.28515625" style="240" customWidth="1"/>
    <col min="12035" max="12035" width="8.85546875" style="240" customWidth="1"/>
    <col min="12036" max="12036" width="11.140625" style="240" customWidth="1"/>
    <col min="12037" max="12037" width="7.85546875" style="240" customWidth="1"/>
    <col min="12038" max="12038" width="12.5703125" style="240" customWidth="1"/>
    <col min="12039" max="12039" width="11.7109375" style="240" customWidth="1"/>
    <col min="12040" max="12040" width="7.7109375" style="240" customWidth="1"/>
    <col min="12041" max="12041" width="15" style="240" customWidth="1"/>
    <col min="12042" max="12042" width="14.42578125" style="240" customWidth="1"/>
    <col min="12043" max="12043" width="9" style="240" customWidth="1"/>
    <col min="12044" max="12044" width="13.7109375" style="240" customWidth="1"/>
    <col min="12045" max="12045" width="12.140625" style="240" customWidth="1"/>
    <col min="12046" max="12046" width="10.5703125" style="240" customWidth="1"/>
    <col min="12047" max="12047" width="9.85546875" style="240" customWidth="1"/>
    <col min="12048" max="12048" width="14.28515625" style="240" customWidth="1"/>
    <col min="12049" max="12049" width="8.85546875" style="240" customWidth="1"/>
    <col min="12050" max="12050" width="12.7109375" style="240" customWidth="1"/>
    <col min="12051" max="12051" width="9.85546875" style="240" customWidth="1"/>
    <col min="12052" max="12052" width="9.7109375" style="240" customWidth="1"/>
    <col min="12053" max="12053" width="9.85546875" style="240" customWidth="1"/>
    <col min="12054" max="12054" width="8.28515625" style="240" customWidth="1"/>
    <col min="12055" max="12055" width="12.7109375" style="240" customWidth="1"/>
    <col min="12056" max="12056" width="11.42578125" style="240" customWidth="1"/>
    <col min="12057" max="12057" width="10.140625" style="240" customWidth="1"/>
    <col min="12058" max="12058" width="13.28515625" style="240" customWidth="1"/>
    <col min="12059" max="12059" width="14.85546875" style="240" customWidth="1"/>
    <col min="12060" max="12060" width="15.42578125" style="240" customWidth="1"/>
    <col min="12061" max="12061" width="12.7109375" style="240" customWidth="1"/>
    <col min="12062" max="12062" width="14" style="240" customWidth="1"/>
    <col min="12063" max="12063" width="14.28515625" style="240" customWidth="1"/>
    <col min="12064" max="12065" width="13.7109375" style="240" customWidth="1"/>
    <col min="12066" max="12066" width="14.140625" style="240" customWidth="1"/>
    <col min="12067" max="12288" width="9.140625" style="240"/>
    <col min="12289" max="12289" width="4.140625" style="240" customWidth="1"/>
    <col min="12290" max="12290" width="33.28515625" style="240" customWidth="1"/>
    <col min="12291" max="12291" width="8.85546875" style="240" customWidth="1"/>
    <col min="12292" max="12292" width="11.140625" style="240" customWidth="1"/>
    <col min="12293" max="12293" width="7.85546875" style="240" customWidth="1"/>
    <col min="12294" max="12294" width="12.5703125" style="240" customWidth="1"/>
    <col min="12295" max="12295" width="11.7109375" style="240" customWidth="1"/>
    <col min="12296" max="12296" width="7.7109375" style="240" customWidth="1"/>
    <col min="12297" max="12297" width="15" style="240" customWidth="1"/>
    <col min="12298" max="12298" width="14.42578125" style="240" customWidth="1"/>
    <col min="12299" max="12299" width="9" style="240" customWidth="1"/>
    <col min="12300" max="12300" width="13.7109375" style="240" customWidth="1"/>
    <col min="12301" max="12301" width="12.140625" style="240" customWidth="1"/>
    <col min="12302" max="12302" width="10.5703125" style="240" customWidth="1"/>
    <col min="12303" max="12303" width="9.85546875" style="240" customWidth="1"/>
    <col min="12304" max="12304" width="14.28515625" style="240" customWidth="1"/>
    <col min="12305" max="12305" width="8.85546875" style="240" customWidth="1"/>
    <col min="12306" max="12306" width="12.7109375" style="240" customWidth="1"/>
    <col min="12307" max="12307" width="9.85546875" style="240" customWidth="1"/>
    <col min="12308" max="12308" width="9.7109375" style="240" customWidth="1"/>
    <col min="12309" max="12309" width="9.85546875" style="240" customWidth="1"/>
    <col min="12310" max="12310" width="8.28515625" style="240" customWidth="1"/>
    <col min="12311" max="12311" width="12.7109375" style="240" customWidth="1"/>
    <col min="12312" max="12312" width="11.42578125" style="240" customWidth="1"/>
    <col min="12313" max="12313" width="10.140625" style="240" customWidth="1"/>
    <col min="12314" max="12314" width="13.28515625" style="240" customWidth="1"/>
    <col min="12315" max="12315" width="14.85546875" style="240" customWidth="1"/>
    <col min="12316" max="12316" width="15.42578125" style="240" customWidth="1"/>
    <col min="12317" max="12317" width="12.7109375" style="240" customWidth="1"/>
    <col min="12318" max="12318" width="14" style="240" customWidth="1"/>
    <col min="12319" max="12319" width="14.28515625" style="240" customWidth="1"/>
    <col min="12320" max="12321" width="13.7109375" style="240" customWidth="1"/>
    <col min="12322" max="12322" width="14.140625" style="240" customWidth="1"/>
    <col min="12323" max="12544" width="9.140625" style="240"/>
    <col min="12545" max="12545" width="4.140625" style="240" customWidth="1"/>
    <col min="12546" max="12546" width="33.28515625" style="240" customWidth="1"/>
    <col min="12547" max="12547" width="8.85546875" style="240" customWidth="1"/>
    <col min="12548" max="12548" width="11.140625" style="240" customWidth="1"/>
    <col min="12549" max="12549" width="7.85546875" style="240" customWidth="1"/>
    <col min="12550" max="12550" width="12.5703125" style="240" customWidth="1"/>
    <col min="12551" max="12551" width="11.7109375" style="240" customWidth="1"/>
    <col min="12552" max="12552" width="7.7109375" style="240" customWidth="1"/>
    <col min="12553" max="12553" width="15" style="240" customWidth="1"/>
    <col min="12554" max="12554" width="14.42578125" style="240" customWidth="1"/>
    <col min="12555" max="12555" width="9" style="240" customWidth="1"/>
    <col min="12556" max="12556" width="13.7109375" style="240" customWidth="1"/>
    <col min="12557" max="12557" width="12.140625" style="240" customWidth="1"/>
    <col min="12558" max="12558" width="10.5703125" style="240" customWidth="1"/>
    <col min="12559" max="12559" width="9.85546875" style="240" customWidth="1"/>
    <col min="12560" max="12560" width="14.28515625" style="240" customWidth="1"/>
    <col min="12561" max="12561" width="8.85546875" style="240" customWidth="1"/>
    <col min="12562" max="12562" width="12.7109375" style="240" customWidth="1"/>
    <col min="12563" max="12563" width="9.85546875" style="240" customWidth="1"/>
    <col min="12564" max="12564" width="9.7109375" style="240" customWidth="1"/>
    <col min="12565" max="12565" width="9.85546875" style="240" customWidth="1"/>
    <col min="12566" max="12566" width="8.28515625" style="240" customWidth="1"/>
    <col min="12567" max="12567" width="12.7109375" style="240" customWidth="1"/>
    <col min="12568" max="12568" width="11.42578125" style="240" customWidth="1"/>
    <col min="12569" max="12569" width="10.140625" style="240" customWidth="1"/>
    <col min="12570" max="12570" width="13.28515625" style="240" customWidth="1"/>
    <col min="12571" max="12571" width="14.85546875" style="240" customWidth="1"/>
    <col min="12572" max="12572" width="15.42578125" style="240" customWidth="1"/>
    <col min="12573" max="12573" width="12.7109375" style="240" customWidth="1"/>
    <col min="12574" max="12574" width="14" style="240" customWidth="1"/>
    <col min="12575" max="12575" width="14.28515625" style="240" customWidth="1"/>
    <col min="12576" max="12577" width="13.7109375" style="240" customWidth="1"/>
    <col min="12578" max="12578" width="14.140625" style="240" customWidth="1"/>
    <col min="12579" max="12800" width="9.140625" style="240"/>
    <col min="12801" max="12801" width="4.140625" style="240" customWidth="1"/>
    <col min="12802" max="12802" width="33.28515625" style="240" customWidth="1"/>
    <col min="12803" max="12803" width="8.85546875" style="240" customWidth="1"/>
    <col min="12804" max="12804" width="11.140625" style="240" customWidth="1"/>
    <col min="12805" max="12805" width="7.85546875" style="240" customWidth="1"/>
    <col min="12806" max="12806" width="12.5703125" style="240" customWidth="1"/>
    <col min="12807" max="12807" width="11.7109375" style="240" customWidth="1"/>
    <col min="12808" max="12808" width="7.7109375" style="240" customWidth="1"/>
    <col min="12809" max="12809" width="15" style="240" customWidth="1"/>
    <col min="12810" max="12810" width="14.42578125" style="240" customWidth="1"/>
    <col min="12811" max="12811" width="9" style="240" customWidth="1"/>
    <col min="12812" max="12812" width="13.7109375" style="240" customWidth="1"/>
    <col min="12813" max="12813" width="12.140625" style="240" customWidth="1"/>
    <col min="12814" max="12814" width="10.5703125" style="240" customWidth="1"/>
    <col min="12815" max="12815" width="9.85546875" style="240" customWidth="1"/>
    <col min="12816" max="12816" width="14.28515625" style="240" customWidth="1"/>
    <col min="12817" max="12817" width="8.85546875" style="240" customWidth="1"/>
    <col min="12818" max="12818" width="12.7109375" style="240" customWidth="1"/>
    <col min="12819" max="12819" width="9.85546875" style="240" customWidth="1"/>
    <col min="12820" max="12820" width="9.7109375" style="240" customWidth="1"/>
    <col min="12821" max="12821" width="9.85546875" style="240" customWidth="1"/>
    <col min="12822" max="12822" width="8.28515625" style="240" customWidth="1"/>
    <col min="12823" max="12823" width="12.7109375" style="240" customWidth="1"/>
    <col min="12824" max="12824" width="11.42578125" style="240" customWidth="1"/>
    <col min="12825" max="12825" width="10.140625" style="240" customWidth="1"/>
    <col min="12826" max="12826" width="13.28515625" style="240" customWidth="1"/>
    <col min="12827" max="12827" width="14.85546875" style="240" customWidth="1"/>
    <col min="12828" max="12828" width="15.42578125" style="240" customWidth="1"/>
    <col min="12829" max="12829" width="12.7109375" style="240" customWidth="1"/>
    <col min="12830" max="12830" width="14" style="240" customWidth="1"/>
    <col min="12831" max="12831" width="14.28515625" style="240" customWidth="1"/>
    <col min="12832" max="12833" width="13.7109375" style="240" customWidth="1"/>
    <col min="12834" max="12834" width="14.140625" style="240" customWidth="1"/>
    <col min="12835" max="13056" width="9.140625" style="240"/>
    <col min="13057" max="13057" width="4.140625" style="240" customWidth="1"/>
    <col min="13058" max="13058" width="33.28515625" style="240" customWidth="1"/>
    <col min="13059" max="13059" width="8.85546875" style="240" customWidth="1"/>
    <col min="13060" max="13060" width="11.140625" style="240" customWidth="1"/>
    <col min="13061" max="13061" width="7.85546875" style="240" customWidth="1"/>
    <col min="13062" max="13062" width="12.5703125" style="240" customWidth="1"/>
    <col min="13063" max="13063" width="11.7109375" style="240" customWidth="1"/>
    <col min="13064" max="13064" width="7.7109375" style="240" customWidth="1"/>
    <col min="13065" max="13065" width="15" style="240" customWidth="1"/>
    <col min="13066" max="13066" width="14.42578125" style="240" customWidth="1"/>
    <col min="13067" max="13067" width="9" style="240" customWidth="1"/>
    <col min="13068" max="13068" width="13.7109375" style="240" customWidth="1"/>
    <col min="13069" max="13069" width="12.140625" style="240" customWidth="1"/>
    <col min="13070" max="13070" width="10.5703125" style="240" customWidth="1"/>
    <col min="13071" max="13071" width="9.85546875" style="240" customWidth="1"/>
    <col min="13072" max="13072" width="14.28515625" style="240" customWidth="1"/>
    <col min="13073" max="13073" width="8.85546875" style="240" customWidth="1"/>
    <col min="13074" max="13074" width="12.7109375" style="240" customWidth="1"/>
    <col min="13075" max="13075" width="9.85546875" style="240" customWidth="1"/>
    <col min="13076" max="13076" width="9.7109375" style="240" customWidth="1"/>
    <col min="13077" max="13077" width="9.85546875" style="240" customWidth="1"/>
    <col min="13078" max="13078" width="8.28515625" style="240" customWidth="1"/>
    <col min="13079" max="13079" width="12.7109375" style="240" customWidth="1"/>
    <col min="13080" max="13080" width="11.42578125" style="240" customWidth="1"/>
    <col min="13081" max="13081" width="10.140625" style="240" customWidth="1"/>
    <col min="13082" max="13082" width="13.28515625" style="240" customWidth="1"/>
    <col min="13083" max="13083" width="14.85546875" style="240" customWidth="1"/>
    <col min="13084" max="13084" width="15.42578125" style="240" customWidth="1"/>
    <col min="13085" max="13085" width="12.7109375" style="240" customWidth="1"/>
    <col min="13086" max="13086" width="14" style="240" customWidth="1"/>
    <col min="13087" max="13087" width="14.28515625" style="240" customWidth="1"/>
    <col min="13088" max="13089" width="13.7109375" style="240" customWidth="1"/>
    <col min="13090" max="13090" width="14.140625" style="240" customWidth="1"/>
    <col min="13091" max="13312" width="9.140625" style="240"/>
    <col min="13313" max="13313" width="4.140625" style="240" customWidth="1"/>
    <col min="13314" max="13314" width="33.28515625" style="240" customWidth="1"/>
    <col min="13315" max="13315" width="8.85546875" style="240" customWidth="1"/>
    <col min="13316" max="13316" width="11.140625" style="240" customWidth="1"/>
    <col min="13317" max="13317" width="7.85546875" style="240" customWidth="1"/>
    <col min="13318" max="13318" width="12.5703125" style="240" customWidth="1"/>
    <col min="13319" max="13319" width="11.7109375" style="240" customWidth="1"/>
    <col min="13320" max="13320" width="7.7109375" style="240" customWidth="1"/>
    <col min="13321" max="13321" width="15" style="240" customWidth="1"/>
    <col min="13322" max="13322" width="14.42578125" style="240" customWidth="1"/>
    <col min="13323" max="13323" width="9" style="240" customWidth="1"/>
    <col min="13324" max="13324" width="13.7109375" style="240" customWidth="1"/>
    <col min="13325" max="13325" width="12.140625" style="240" customWidth="1"/>
    <col min="13326" max="13326" width="10.5703125" style="240" customWidth="1"/>
    <col min="13327" max="13327" width="9.85546875" style="240" customWidth="1"/>
    <col min="13328" max="13328" width="14.28515625" style="240" customWidth="1"/>
    <col min="13329" max="13329" width="8.85546875" style="240" customWidth="1"/>
    <col min="13330" max="13330" width="12.7109375" style="240" customWidth="1"/>
    <col min="13331" max="13331" width="9.85546875" style="240" customWidth="1"/>
    <col min="13332" max="13332" width="9.7109375" style="240" customWidth="1"/>
    <col min="13333" max="13333" width="9.85546875" style="240" customWidth="1"/>
    <col min="13334" max="13334" width="8.28515625" style="240" customWidth="1"/>
    <col min="13335" max="13335" width="12.7109375" style="240" customWidth="1"/>
    <col min="13336" max="13336" width="11.42578125" style="240" customWidth="1"/>
    <col min="13337" max="13337" width="10.140625" style="240" customWidth="1"/>
    <col min="13338" max="13338" width="13.28515625" style="240" customWidth="1"/>
    <col min="13339" max="13339" width="14.85546875" style="240" customWidth="1"/>
    <col min="13340" max="13340" width="15.42578125" style="240" customWidth="1"/>
    <col min="13341" max="13341" width="12.7109375" style="240" customWidth="1"/>
    <col min="13342" max="13342" width="14" style="240" customWidth="1"/>
    <col min="13343" max="13343" width="14.28515625" style="240" customWidth="1"/>
    <col min="13344" max="13345" width="13.7109375" style="240" customWidth="1"/>
    <col min="13346" max="13346" width="14.140625" style="240" customWidth="1"/>
    <col min="13347" max="13568" width="9.140625" style="240"/>
    <col min="13569" max="13569" width="4.140625" style="240" customWidth="1"/>
    <col min="13570" max="13570" width="33.28515625" style="240" customWidth="1"/>
    <col min="13571" max="13571" width="8.85546875" style="240" customWidth="1"/>
    <col min="13572" max="13572" width="11.140625" style="240" customWidth="1"/>
    <col min="13573" max="13573" width="7.85546875" style="240" customWidth="1"/>
    <col min="13574" max="13574" width="12.5703125" style="240" customWidth="1"/>
    <col min="13575" max="13575" width="11.7109375" style="240" customWidth="1"/>
    <col min="13576" max="13576" width="7.7109375" style="240" customWidth="1"/>
    <col min="13577" max="13577" width="15" style="240" customWidth="1"/>
    <col min="13578" max="13578" width="14.42578125" style="240" customWidth="1"/>
    <col min="13579" max="13579" width="9" style="240" customWidth="1"/>
    <col min="13580" max="13580" width="13.7109375" style="240" customWidth="1"/>
    <col min="13581" max="13581" width="12.140625" style="240" customWidth="1"/>
    <col min="13582" max="13582" width="10.5703125" style="240" customWidth="1"/>
    <col min="13583" max="13583" width="9.85546875" style="240" customWidth="1"/>
    <col min="13584" max="13584" width="14.28515625" style="240" customWidth="1"/>
    <col min="13585" max="13585" width="8.85546875" style="240" customWidth="1"/>
    <col min="13586" max="13586" width="12.7109375" style="240" customWidth="1"/>
    <col min="13587" max="13587" width="9.85546875" style="240" customWidth="1"/>
    <col min="13588" max="13588" width="9.7109375" style="240" customWidth="1"/>
    <col min="13589" max="13589" width="9.85546875" style="240" customWidth="1"/>
    <col min="13590" max="13590" width="8.28515625" style="240" customWidth="1"/>
    <col min="13591" max="13591" width="12.7109375" style="240" customWidth="1"/>
    <col min="13592" max="13592" width="11.42578125" style="240" customWidth="1"/>
    <col min="13593" max="13593" width="10.140625" style="240" customWidth="1"/>
    <col min="13594" max="13594" width="13.28515625" style="240" customWidth="1"/>
    <col min="13595" max="13595" width="14.85546875" style="240" customWidth="1"/>
    <col min="13596" max="13596" width="15.42578125" style="240" customWidth="1"/>
    <col min="13597" max="13597" width="12.7109375" style="240" customWidth="1"/>
    <col min="13598" max="13598" width="14" style="240" customWidth="1"/>
    <col min="13599" max="13599" width="14.28515625" style="240" customWidth="1"/>
    <col min="13600" max="13601" width="13.7109375" style="240" customWidth="1"/>
    <col min="13602" max="13602" width="14.140625" style="240" customWidth="1"/>
    <col min="13603" max="13824" width="9.140625" style="240"/>
    <col min="13825" max="13825" width="4.140625" style="240" customWidth="1"/>
    <col min="13826" max="13826" width="33.28515625" style="240" customWidth="1"/>
    <col min="13827" max="13827" width="8.85546875" style="240" customWidth="1"/>
    <col min="13828" max="13828" width="11.140625" style="240" customWidth="1"/>
    <col min="13829" max="13829" width="7.85546875" style="240" customWidth="1"/>
    <col min="13830" max="13830" width="12.5703125" style="240" customWidth="1"/>
    <col min="13831" max="13831" width="11.7109375" style="240" customWidth="1"/>
    <col min="13832" max="13832" width="7.7109375" style="240" customWidth="1"/>
    <col min="13833" max="13833" width="15" style="240" customWidth="1"/>
    <col min="13834" max="13834" width="14.42578125" style="240" customWidth="1"/>
    <col min="13835" max="13835" width="9" style="240" customWidth="1"/>
    <col min="13836" max="13836" width="13.7109375" style="240" customWidth="1"/>
    <col min="13837" max="13837" width="12.140625" style="240" customWidth="1"/>
    <col min="13838" max="13838" width="10.5703125" style="240" customWidth="1"/>
    <col min="13839" max="13839" width="9.85546875" style="240" customWidth="1"/>
    <col min="13840" max="13840" width="14.28515625" style="240" customWidth="1"/>
    <col min="13841" max="13841" width="8.85546875" style="240" customWidth="1"/>
    <col min="13842" max="13842" width="12.7109375" style="240" customWidth="1"/>
    <col min="13843" max="13843" width="9.85546875" style="240" customWidth="1"/>
    <col min="13844" max="13844" width="9.7109375" style="240" customWidth="1"/>
    <col min="13845" max="13845" width="9.85546875" style="240" customWidth="1"/>
    <col min="13846" max="13846" width="8.28515625" style="240" customWidth="1"/>
    <col min="13847" max="13847" width="12.7109375" style="240" customWidth="1"/>
    <col min="13848" max="13848" width="11.42578125" style="240" customWidth="1"/>
    <col min="13849" max="13849" width="10.140625" style="240" customWidth="1"/>
    <col min="13850" max="13850" width="13.28515625" style="240" customWidth="1"/>
    <col min="13851" max="13851" width="14.85546875" style="240" customWidth="1"/>
    <col min="13852" max="13852" width="15.42578125" style="240" customWidth="1"/>
    <col min="13853" max="13853" width="12.7109375" style="240" customWidth="1"/>
    <col min="13854" max="13854" width="14" style="240" customWidth="1"/>
    <col min="13855" max="13855" width="14.28515625" style="240" customWidth="1"/>
    <col min="13856" max="13857" width="13.7109375" style="240" customWidth="1"/>
    <col min="13858" max="13858" width="14.140625" style="240" customWidth="1"/>
    <col min="13859" max="14080" width="9.140625" style="240"/>
    <col min="14081" max="14081" width="4.140625" style="240" customWidth="1"/>
    <col min="14082" max="14082" width="33.28515625" style="240" customWidth="1"/>
    <col min="14083" max="14083" width="8.85546875" style="240" customWidth="1"/>
    <col min="14084" max="14084" width="11.140625" style="240" customWidth="1"/>
    <col min="14085" max="14085" width="7.85546875" style="240" customWidth="1"/>
    <col min="14086" max="14086" width="12.5703125" style="240" customWidth="1"/>
    <col min="14087" max="14087" width="11.7109375" style="240" customWidth="1"/>
    <col min="14088" max="14088" width="7.7109375" style="240" customWidth="1"/>
    <col min="14089" max="14089" width="15" style="240" customWidth="1"/>
    <col min="14090" max="14090" width="14.42578125" style="240" customWidth="1"/>
    <col min="14091" max="14091" width="9" style="240" customWidth="1"/>
    <col min="14092" max="14092" width="13.7109375" style="240" customWidth="1"/>
    <col min="14093" max="14093" width="12.140625" style="240" customWidth="1"/>
    <col min="14094" max="14094" width="10.5703125" style="240" customWidth="1"/>
    <col min="14095" max="14095" width="9.85546875" style="240" customWidth="1"/>
    <col min="14096" max="14096" width="14.28515625" style="240" customWidth="1"/>
    <col min="14097" max="14097" width="8.85546875" style="240" customWidth="1"/>
    <col min="14098" max="14098" width="12.7109375" style="240" customWidth="1"/>
    <col min="14099" max="14099" width="9.85546875" style="240" customWidth="1"/>
    <col min="14100" max="14100" width="9.7109375" style="240" customWidth="1"/>
    <col min="14101" max="14101" width="9.85546875" style="240" customWidth="1"/>
    <col min="14102" max="14102" width="8.28515625" style="240" customWidth="1"/>
    <col min="14103" max="14103" width="12.7109375" style="240" customWidth="1"/>
    <col min="14104" max="14104" width="11.42578125" style="240" customWidth="1"/>
    <col min="14105" max="14105" width="10.140625" style="240" customWidth="1"/>
    <col min="14106" max="14106" width="13.28515625" style="240" customWidth="1"/>
    <col min="14107" max="14107" width="14.85546875" style="240" customWidth="1"/>
    <col min="14108" max="14108" width="15.42578125" style="240" customWidth="1"/>
    <col min="14109" max="14109" width="12.7109375" style="240" customWidth="1"/>
    <col min="14110" max="14110" width="14" style="240" customWidth="1"/>
    <col min="14111" max="14111" width="14.28515625" style="240" customWidth="1"/>
    <col min="14112" max="14113" width="13.7109375" style="240" customWidth="1"/>
    <col min="14114" max="14114" width="14.140625" style="240" customWidth="1"/>
    <col min="14115" max="14336" width="9.140625" style="240"/>
    <col min="14337" max="14337" width="4.140625" style="240" customWidth="1"/>
    <col min="14338" max="14338" width="33.28515625" style="240" customWidth="1"/>
    <col min="14339" max="14339" width="8.85546875" style="240" customWidth="1"/>
    <col min="14340" max="14340" width="11.140625" style="240" customWidth="1"/>
    <col min="14341" max="14341" width="7.85546875" style="240" customWidth="1"/>
    <col min="14342" max="14342" width="12.5703125" style="240" customWidth="1"/>
    <col min="14343" max="14343" width="11.7109375" style="240" customWidth="1"/>
    <col min="14344" max="14344" width="7.7109375" style="240" customWidth="1"/>
    <col min="14345" max="14345" width="15" style="240" customWidth="1"/>
    <col min="14346" max="14346" width="14.42578125" style="240" customWidth="1"/>
    <col min="14347" max="14347" width="9" style="240" customWidth="1"/>
    <col min="14348" max="14348" width="13.7109375" style="240" customWidth="1"/>
    <col min="14349" max="14349" width="12.140625" style="240" customWidth="1"/>
    <col min="14350" max="14350" width="10.5703125" style="240" customWidth="1"/>
    <col min="14351" max="14351" width="9.85546875" style="240" customWidth="1"/>
    <col min="14352" max="14352" width="14.28515625" style="240" customWidth="1"/>
    <col min="14353" max="14353" width="8.85546875" style="240" customWidth="1"/>
    <col min="14354" max="14354" width="12.7109375" style="240" customWidth="1"/>
    <col min="14355" max="14355" width="9.85546875" style="240" customWidth="1"/>
    <col min="14356" max="14356" width="9.7109375" style="240" customWidth="1"/>
    <col min="14357" max="14357" width="9.85546875" style="240" customWidth="1"/>
    <col min="14358" max="14358" width="8.28515625" style="240" customWidth="1"/>
    <col min="14359" max="14359" width="12.7109375" style="240" customWidth="1"/>
    <col min="14360" max="14360" width="11.42578125" style="240" customWidth="1"/>
    <col min="14361" max="14361" width="10.140625" style="240" customWidth="1"/>
    <col min="14362" max="14362" width="13.28515625" style="240" customWidth="1"/>
    <col min="14363" max="14363" width="14.85546875" style="240" customWidth="1"/>
    <col min="14364" max="14364" width="15.42578125" style="240" customWidth="1"/>
    <col min="14365" max="14365" width="12.7109375" style="240" customWidth="1"/>
    <col min="14366" max="14366" width="14" style="240" customWidth="1"/>
    <col min="14367" max="14367" width="14.28515625" style="240" customWidth="1"/>
    <col min="14368" max="14369" width="13.7109375" style="240" customWidth="1"/>
    <col min="14370" max="14370" width="14.140625" style="240" customWidth="1"/>
    <col min="14371" max="14592" width="9.140625" style="240"/>
    <col min="14593" max="14593" width="4.140625" style="240" customWidth="1"/>
    <col min="14594" max="14594" width="33.28515625" style="240" customWidth="1"/>
    <col min="14595" max="14595" width="8.85546875" style="240" customWidth="1"/>
    <col min="14596" max="14596" width="11.140625" style="240" customWidth="1"/>
    <col min="14597" max="14597" width="7.85546875" style="240" customWidth="1"/>
    <col min="14598" max="14598" width="12.5703125" style="240" customWidth="1"/>
    <col min="14599" max="14599" width="11.7109375" style="240" customWidth="1"/>
    <col min="14600" max="14600" width="7.7109375" style="240" customWidth="1"/>
    <col min="14601" max="14601" width="15" style="240" customWidth="1"/>
    <col min="14602" max="14602" width="14.42578125" style="240" customWidth="1"/>
    <col min="14603" max="14603" width="9" style="240" customWidth="1"/>
    <col min="14604" max="14604" width="13.7109375" style="240" customWidth="1"/>
    <col min="14605" max="14605" width="12.140625" style="240" customWidth="1"/>
    <col min="14606" max="14606" width="10.5703125" style="240" customWidth="1"/>
    <col min="14607" max="14607" width="9.85546875" style="240" customWidth="1"/>
    <col min="14608" max="14608" width="14.28515625" style="240" customWidth="1"/>
    <col min="14609" max="14609" width="8.85546875" style="240" customWidth="1"/>
    <col min="14610" max="14610" width="12.7109375" style="240" customWidth="1"/>
    <col min="14611" max="14611" width="9.85546875" style="240" customWidth="1"/>
    <col min="14612" max="14612" width="9.7109375" style="240" customWidth="1"/>
    <col min="14613" max="14613" width="9.85546875" style="240" customWidth="1"/>
    <col min="14614" max="14614" width="8.28515625" style="240" customWidth="1"/>
    <col min="14615" max="14615" width="12.7109375" style="240" customWidth="1"/>
    <col min="14616" max="14616" width="11.42578125" style="240" customWidth="1"/>
    <col min="14617" max="14617" width="10.140625" style="240" customWidth="1"/>
    <col min="14618" max="14618" width="13.28515625" style="240" customWidth="1"/>
    <col min="14619" max="14619" width="14.85546875" style="240" customWidth="1"/>
    <col min="14620" max="14620" width="15.42578125" style="240" customWidth="1"/>
    <col min="14621" max="14621" width="12.7109375" style="240" customWidth="1"/>
    <col min="14622" max="14622" width="14" style="240" customWidth="1"/>
    <col min="14623" max="14623" width="14.28515625" style="240" customWidth="1"/>
    <col min="14624" max="14625" width="13.7109375" style="240" customWidth="1"/>
    <col min="14626" max="14626" width="14.140625" style="240" customWidth="1"/>
    <col min="14627" max="14848" width="9.140625" style="240"/>
    <col min="14849" max="14849" width="4.140625" style="240" customWidth="1"/>
    <col min="14850" max="14850" width="33.28515625" style="240" customWidth="1"/>
    <col min="14851" max="14851" width="8.85546875" style="240" customWidth="1"/>
    <col min="14852" max="14852" width="11.140625" style="240" customWidth="1"/>
    <col min="14853" max="14853" width="7.85546875" style="240" customWidth="1"/>
    <col min="14854" max="14854" width="12.5703125" style="240" customWidth="1"/>
    <col min="14855" max="14855" width="11.7109375" style="240" customWidth="1"/>
    <col min="14856" max="14856" width="7.7109375" style="240" customWidth="1"/>
    <col min="14857" max="14857" width="15" style="240" customWidth="1"/>
    <col min="14858" max="14858" width="14.42578125" style="240" customWidth="1"/>
    <col min="14859" max="14859" width="9" style="240" customWidth="1"/>
    <col min="14860" max="14860" width="13.7109375" style="240" customWidth="1"/>
    <col min="14861" max="14861" width="12.140625" style="240" customWidth="1"/>
    <col min="14862" max="14862" width="10.5703125" style="240" customWidth="1"/>
    <col min="14863" max="14863" width="9.85546875" style="240" customWidth="1"/>
    <col min="14864" max="14864" width="14.28515625" style="240" customWidth="1"/>
    <col min="14865" max="14865" width="8.85546875" style="240" customWidth="1"/>
    <col min="14866" max="14866" width="12.7109375" style="240" customWidth="1"/>
    <col min="14867" max="14867" width="9.85546875" style="240" customWidth="1"/>
    <col min="14868" max="14868" width="9.7109375" style="240" customWidth="1"/>
    <col min="14869" max="14869" width="9.85546875" style="240" customWidth="1"/>
    <col min="14870" max="14870" width="8.28515625" style="240" customWidth="1"/>
    <col min="14871" max="14871" width="12.7109375" style="240" customWidth="1"/>
    <col min="14872" max="14872" width="11.42578125" style="240" customWidth="1"/>
    <col min="14873" max="14873" width="10.140625" style="240" customWidth="1"/>
    <col min="14874" max="14874" width="13.28515625" style="240" customWidth="1"/>
    <col min="14875" max="14875" width="14.85546875" style="240" customWidth="1"/>
    <col min="14876" max="14876" width="15.42578125" style="240" customWidth="1"/>
    <col min="14877" max="14877" width="12.7109375" style="240" customWidth="1"/>
    <col min="14878" max="14878" width="14" style="240" customWidth="1"/>
    <col min="14879" max="14879" width="14.28515625" style="240" customWidth="1"/>
    <col min="14880" max="14881" width="13.7109375" style="240" customWidth="1"/>
    <col min="14882" max="14882" width="14.140625" style="240" customWidth="1"/>
    <col min="14883" max="15104" width="9.140625" style="240"/>
    <col min="15105" max="15105" width="4.140625" style="240" customWidth="1"/>
    <col min="15106" max="15106" width="33.28515625" style="240" customWidth="1"/>
    <col min="15107" max="15107" width="8.85546875" style="240" customWidth="1"/>
    <col min="15108" max="15108" width="11.140625" style="240" customWidth="1"/>
    <col min="15109" max="15109" width="7.85546875" style="240" customWidth="1"/>
    <col min="15110" max="15110" width="12.5703125" style="240" customWidth="1"/>
    <col min="15111" max="15111" width="11.7109375" style="240" customWidth="1"/>
    <col min="15112" max="15112" width="7.7109375" style="240" customWidth="1"/>
    <col min="15113" max="15113" width="15" style="240" customWidth="1"/>
    <col min="15114" max="15114" width="14.42578125" style="240" customWidth="1"/>
    <col min="15115" max="15115" width="9" style="240" customWidth="1"/>
    <col min="15116" max="15116" width="13.7109375" style="240" customWidth="1"/>
    <col min="15117" max="15117" width="12.140625" style="240" customWidth="1"/>
    <col min="15118" max="15118" width="10.5703125" style="240" customWidth="1"/>
    <col min="15119" max="15119" width="9.85546875" style="240" customWidth="1"/>
    <col min="15120" max="15120" width="14.28515625" style="240" customWidth="1"/>
    <col min="15121" max="15121" width="8.85546875" style="240" customWidth="1"/>
    <col min="15122" max="15122" width="12.7109375" style="240" customWidth="1"/>
    <col min="15123" max="15123" width="9.85546875" style="240" customWidth="1"/>
    <col min="15124" max="15124" width="9.7109375" style="240" customWidth="1"/>
    <col min="15125" max="15125" width="9.85546875" style="240" customWidth="1"/>
    <col min="15126" max="15126" width="8.28515625" style="240" customWidth="1"/>
    <col min="15127" max="15127" width="12.7109375" style="240" customWidth="1"/>
    <col min="15128" max="15128" width="11.42578125" style="240" customWidth="1"/>
    <col min="15129" max="15129" width="10.140625" style="240" customWidth="1"/>
    <col min="15130" max="15130" width="13.28515625" style="240" customWidth="1"/>
    <col min="15131" max="15131" width="14.85546875" style="240" customWidth="1"/>
    <col min="15132" max="15132" width="15.42578125" style="240" customWidth="1"/>
    <col min="15133" max="15133" width="12.7109375" style="240" customWidth="1"/>
    <col min="15134" max="15134" width="14" style="240" customWidth="1"/>
    <col min="15135" max="15135" width="14.28515625" style="240" customWidth="1"/>
    <col min="15136" max="15137" width="13.7109375" style="240" customWidth="1"/>
    <col min="15138" max="15138" width="14.140625" style="240" customWidth="1"/>
    <col min="15139" max="15360" width="9.140625" style="240"/>
    <col min="15361" max="15361" width="4.140625" style="240" customWidth="1"/>
    <col min="15362" max="15362" width="33.28515625" style="240" customWidth="1"/>
    <col min="15363" max="15363" width="8.85546875" style="240" customWidth="1"/>
    <col min="15364" max="15364" width="11.140625" style="240" customWidth="1"/>
    <col min="15365" max="15365" width="7.85546875" style="240" customWidth="1"/>
    <col min="15366" max="15366" width="12.5703125" style="240" customWidth="1"/>
    <col min="15367" max="15367" width="11.7109375" style="240" customWidth="1"/>
    <col min="15368" max="15368" width="7.7109375" style="240" customWidth="1"/>
    <col min="15369" max="15369" width="15" style="240" customWidth="1"/>
    <col min="15370" max="15370" width="14.42578125" style="240" customWidth="1"/>
    <col min="15371" max="15371" width="9" style="240" customWidth="1"/>
    <col min="15372" max="15372" width="13.7109375" style="240" customWidth="1"/>
    <col min="15373" max="15373" width="12.140625" style="240" customWidth="1"/>
    <col min="15374" max="15374" width="10.5703125" style="240" customWidth="1"/>
    <col min="15375" max="15375" width="9.85546875" style="240" customWidth="1"/>
    <col min="15376" max="15376" width="14.28515625" style="240" customWidth="1"/>
    <col min="15377" max="15377" width="8.85546875" style="240" customWidth="1"/>
    <col min="15378" max="15378" width="12.7109375" style="240" customWidth="1"/>
    <col min="15379" max="15379" width="9.85546875" style="240" customWidth="1"/>
    <col min="15380" max="15380" width="9.7109375" style="240" customWidth="1"/>
    <col min="15381" max="15381" width="9.85546875" style="240" customWidth="1"/>
    <col min="15382" max="15382" width="8.28515625" style="240" customWidth="1"/>
    <col min="15383" max="15383" width="12.7109375" style="240" customWidth="1"/>
    <col min="15384" max="15384" width="11.42578125" style="240" customWidth="1"/>
    <col min="15385" max="15385" width="10.140625" style="240" customWidth="1"/>
    <col min="15386" max="15386" width="13.28515625" style="240" customWidth="1"/>
    <col min="15387" max="15387" width="14.85546875" style="240" customWidth="1"/>
    <col min="15388" max="15388" width="15.42578125" style="240" customWidth="1"/>
    <col min="15389" max="15389" width="12.7109375" style="240" customWidth="1"/>
    <col min="15390" max="15390" width="14" style="240" customWidth="1"/>
    <col min="15391" max="15391" width="14.28515625" style="240" customWidth="1"/>
    <col min="15392" max="15393" width="13.7109375" style="240" customWidth="1"/>
    <col min="15394" max="15394" width="14.140625" style="240" customWidth="1"/>
    <col min="15395" max="15616" width="9.140625" style="240"/>
    <col min="15617" max="15617" width="4.140625" style="240" customWidth="1"/>
    <col min="15618" max="15618" width="33.28515625" style="240" customWidth="1"/>
    <col min="15619" max="15619" width="8.85546875" style="240" customWidth="1"/>
    <col min="15620" max="15620" width="11.140625" style="240" customWidth="1"/>
    <col min="15621" max="15621" width="7.85546875" style="240" customWidth="1"/>
    <col min="15622" max="15622" width="12.5703125" style="240" customWidth="1"/>
    <col min="15623" max="15623" width="11.7109375" style="240" customWidth="1"/>
    <col min="15624" max="15624" width="7.7109375" style="240" customWidth="1"/>
    <col min="15625" max="15625" width="15" style="240" customWidth="1"/>
    <col min="15626" max="15626" width="14.42578125" style="240" customWidth="1"/>
    <col min="15627" max="15627" width="9" style="240" customWidth="1"/>
    <col min="15628" max="15628" width="13.7109375" style="240" customWidth="1"/>
    <col min="15629" max="15629" width="12.140625" style="240" customWidth="1"/>
    <col min="15630" max="15630" width="10.5703125" style="240" customWidth="1"/>
    <col min="15631" max="15631" width="9.85546875" style="240" customWidth="1"/>
    <col min="15632" max="15632" width="14.28515625" style="240" customWidth="1"/>
    <col min="15633" max="15633" width="8.85546875" style="240" customWidth="1"/>
    <col min="15634" max="15634" width="12.7109375" style="240" customWidth="1"/>
    <col min="15635" max="15635" width="9.85546875" style="240" customWidth="1"/>
    <col min="15636" max="15636" width="9.7109375" style="240" customWidth="1"/>
    <col min="15637" max="15637" width="9.85546875" style="240" customWidth="1"/>
    <col min="15638" max="15638" width="8.28515625" style="240" customWidth="1"/>
    <col min="15639" max="15639" width="12.7109375" style="240" customWidth="1"/>
    <col min="15640" max="15640" width="11.42578125" style="240" customWidth="1"/>
    <col min="15641" max="15641" width="10.140625" style="240" customWidth="1"/>
    <col min="15642" max="15642" width="13.28515625" style="240" customWidth="1"/>
    <col min="15643" max="15643" width="14.85546875" style="240" customWidth="1"/>
    <col min="15644" max="15644" width="15.42578125" style="240" customWidth="1"/>
    <col min="15645" max="15645" width="12.7109375" style="240" customWidth="1"/>
    <col min="15646" max="15646" width="14" style="240" customWidth="1"/>
    <col min="15647" max="15647" width="14.28515625" style="240" customWidth="1"/>
    <col min="15648" max="15649" width="13.7109375" style="240" customWidth="1"/>
    <col min="15650" max="15650" width="14.140625" style="240" customWidth="1"/>
    <col min="15651" max="15872" width="9.140625" style="240"/>
    <col min="15873" max="15873" width="4.140625" style="240" customWidth="1"/>
    <col min="15874" max="15874" width="33.28515625" style="240" customWidth="1"/>
    <col min="15875" max="15875" width="8.85546875" style="240" customWidth="1"/>
    <col min="15876" max="15876" width="11.140625" style="240" customWidth="1"/>
    <col min="15877" max="15877" width="7.85546875" style="240" customWidth="1"/>
    <col min="15878" max="15878" width="12.5703125" style="240" customWidth="1"/>
    <col min="15879" max="15879" width="11.7109375" style="240" customWidth="1"/>
    <col min="15880" max="15880" width="7.7109375" style="240" customWidth="1"/>
    <col min="15881" max="15881" width="15" style="240" customWidth="1"/>
    <col min="15882" max="15882" width="14.42578125" style="240" customWidth="1"/>
    <col min="15883" max="15883" width="9" style="240" customWidth="1"/>
    <col min="15884" max="15884" width="13.7109375" style="240" customWidth="1"/>
    <col min="15885" max="15885" width="12.140625" style="240" customWidth="1"/>
    <col min="15886" max="15886" width="10.5703125" style="240" customWidth="1"/>
    <col min="15887" max="15887" width="9.85546875" style="240" customWidth="1"/>
    <col min="15888" max="15888" width="14.28515625" style="240" customWidth="1"/>
    <col min="15889" max="15889" width="8.85546875" style="240" customWidth="1"/>
    <col min="15890" max="15890" width="12.7109375" style="240" customWidth="1"/>
    <col min="15891" max="15891" width="9.85546875" style="240" customWidth="1"/>
    <col min="15892" max="15892" width="9.7109375" style="240" customWidth="1"/>
    <col min="15893" max="15893" width="9.85546875" style="240" customWidth="1"/>
    <col min="15894" max="15894" width="8.28515625" style="240" customWidth="1"/>
    <col min="15895" max="15895" width="12.7109375" style="240" customWidth="1"/>
    <col min="15896" max="15896" width="11.42578125" style="240" customWidth="1"/>
    <col min="15897" max="15897" width="10.140625" style="240" customWidth="1"/>
    <col min="15898" max="15898" width="13.28515625" style="240" customWidth="1"/>
    <col min="15899" max="15899" width="14.85546875" style="240" customWidth="1"/>
    <col min="15900" max="15900" width="15.42578125" style="240" customWidth="1"/>
    <col min="15901" max="15901" width="12.7109375" style="240" customWidth="1"/>
    <col min="15902" max="15902" width="14" style="240" customWidth="1"/>
    <col min="15903" max="15903" width="14.28515625" style="240" customWidth="1"/>
    <col min="15904" max="15905" width="13.7109375" style="240" customWidth="1"/>
    <col min="15906" max="15906" width="14.140625" style="240" customWidth="1"/>
    <col min="15907" max="16128" width="9.140625" style="240"/>
    <col min="16129" max="16129" width="4.140625" style="240" customWidth="1"/>
    <col min="16130" max="16130" width="33.28515625" style="240" customWidth="1"/>
    <col min="16131" max="16131" width="8.85546875" style="240" customWidth="1"/>
    <col min="16132" max="16132" width="11.140625" style="240" customWidth="1"/>
    <col min="16133" max="16133" width="7.85546875" style="240" customWidth="1"/>
    <col min="16134" max="16134" width="12.5703125" style="240" customWidth="1"/>
    <col min="16135" max="16135" width="11.7109375" style="240" customWidth="1"/>
    <col min="16136" max="16136" width="7.7109375" style="240" customWidth="1"/>
    <col min="16137" max="16137" width="15" style="240" customWidth="1"/>
    <col min="16138" max="16138" width="14.42578125" style="240" customWidth="1"/>
    <col min="16139" max="16139" width="9" style="240" customWidth="1"/>
    <col min="16140" max="16140" width="13.7109375" style="240" customWidth="1"/>
    <col min="16141" max="16141" width="12.140625" style="240" customWidth="1"/>
    <col min="16142" max="16142" width="10.5703125" style="240" customWidth="1"/>
    <col min="16143" max="16143" width="9.85546875" style="240" customWidth="1"/>
    <col min="16144" max="16144" width="14.28515625" style="240" customWidth="1"/>
    <col min="16145" max="16145" width="8.85546875" style="240" customWidth="1"/>
    <col min="16146" max="16146" width="12.7109375" style="240" customWidth="1"/>
    <col min="16147" max="16147" width="9.85546875" style="240" customWidth="1"/>
    <col min="16148" max="16148" width="9.7109375" style="240" customWidth="1"/>
    <col min="16149" max="16149" width="9.85546875" style="240" customWidth="1"/>
    <col min="16150" max="16150" width="8.28515625" style="240" customWidth="1"/>
    <col min="16151" max="16151" width="12.7109375" style="240" customWidth="1"/>
    <col min="16152" max="16152" width="11.42578125" style="240" customWidth="1"/>
    <col min="16153" max="16153" width="10.140625" style="240" customWidth="1"/>
    <col min="16154" max="16154" width="13.28515625" style="240" customWidth="1"/>
    <col min="16155" max="16155" width="14.85546875" style="240" customWidth="1"/>
    <col min="16156" max="16156" width="15.42578125" style="240" customWidth="1"/>
    <col min="16157" max="16157" width="12.7109375" style="240" customWidth="1"/>
    <col min="16158" max="16158" width="14" style="240" customWidth="1"/>
    <col min="16159" max="16159" width="14.28515625" style="240" customWidth="1"/>
    <col min="16160" max="16161" width="13.7109375" style="240" customWidth="1"/>
    <col min="16162" max="16162" width="14.140625" style="240" customWidth="1"/>
    <col min="16163" max="16384" width="9.140625" style="240"/>
  </cols>
  <sheetData>
    <row r="1" spans="1:37" x14ac:dyDescent="0.2">
      <c r="C1" s="240" t="s">
        <v>546</v>
      </c>
    </row>
    <row r="2" spans="1:37" ht="15.75" x14ac:dyDescent="0.25">
      <c r="A2" s="241"/>
      <c r="B2" s="241"/>
      <c r="C2" s="241" t="s">
        <v>547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1:37" x14ac:dyDescent="0.2">
      <c r="A3" s="242"/>
      <c r="B3" s="243"/>
      <c r="C3" s="243"/>
      <c r="D3" s="243"/>
      <c r="AB3" s="242"/>
      <c r="AC3" s="242"/>
      <c r="AD3" s="242"/>
    </row>
    <row r="4" spans="1:37" x14ac:dyDescent="0.2">
      <c r="C4" s="240" t="s">
        <v>548</v>
      </c>
    </row>
    <row r="6" spans="1:37" ht="60.75" customHeight="1" x14ac:dyDescent="0.2">
      <c r="A6" s="830" t="s">
        <v>15</v>
      </c>
      <c r="B6" s="827" t="s">
        <v>126</v>
      </c>
      <c r="C6" s="827" t="s">
        <v>549</v>
      </c>
      <c r="D6" s="827" t="s">
        <v>550</v>
      </c>
      <c r="E6" s="827" t="s">
        <v>551</v>
      </c>
      <c r="F6" s="827"/>
      <c r="G6" s="827"/>
      <c r="H6" s="827" t="s">
        <v>552</v>
      </c>
      <c r="I6" s="827"/>
      <c r="J6" s="827"/>
      <c r="K6" s="827" t="s">
        <v>553</v>
      </c>
      <c r="L6" s="827"/>
      <c r="M6" s="827"/>
      <c r="N6" s="827" t="s">
        <v>554</v>
      </c>
      <c r="O6" s="827"/>
      <c r="P6" s="827"/>
      <c r="Q6" s="827" t="s">
        <v>555</v>
      </c>
      <c r="R6" s="827"/>
      <c r="S6" s="827"/>
      <c r="T6" s="827" t="s">
        <v>556</v>
      </c>
      <c r="U6" s="827"/>
      <c r="V6" s="827" t="s">
        <v>557</v>
      </c>
      <c r="W6" s="827"/>
      <c r="X6" s="827"/>
      <c r="Y6" s="827"/>
      <c r="Z6" s="827"/>
      <c r="AA6" s="827" t="s">
        <v>558</v>
      </c>
      <c r="AB6" s="827"/>
      <c r="AC6" s="827" t="s">
        <v>559</v>
      </c>
      <c r="AD6" s="827"/>
      <c r="AE6" s="827" t="s">
        <v>560</v>
      </c>
      <c r="AF6" s="827" t="s">
        <v>561</v>
      </c>
      <c r="AG6" s="827" t="s">
        <v>4</v>
      </c>
      <c r="AH6" s="827" t="s">
        <v>562</v>
      </c>
      <c r="AI6" s="827" t="s">
        <v>563</v>
      </c>
      <c r="AJ6" s="827" t="s">
        <v>564</v>
      </c>
      <c r="AK6" s="244"/>
    </row>
    <row r="7" spans="1:37" ht="54" customHeight="1" x14ac:dyDescent="0.2">
      <c r="A7" s="830"/>
      <c r="B7" s="827"/>
      <c r="C7" s="827"/>
      <c r="D7" s="827"/>
      <c r="E7" s="827" t="s">
        <v>565</v>
      </c>
      <c r="F7" s="827" t="s">
        <v>566</v>
      </c>
      <c r="G7" s="827" t="s">
        <v>567</v>
      </c>
      <c r="H7" s="827" t="s">
        <v>565</v>
      </c>
      <c r="I7" s="827" t="s">
        <v>566</v>
      </c>
      <c r="J7" s="827" t="s">
        <v>567</v>
      </c>
      <c r="K7" s="827" t="s">
        <v>565</v>
      </c>
      <c r="L7" s="827" t="s">
        <v>566</v>
      </c>
      <c r="M7" s="827" t="s">
        <v>567</v>
      </c>
      <c r="N7" s="827" t="s">
        <v>565</v>
      </c>
      <c r="O7" s="827" t="s">
        <v>566</v>
      </c>
      <c r="P7" s="827" t="s">
        <v>567</v>
      </c>
      <c r="Q7" s="827" t="s">
        <v>565</v>
      </c>
      <c r="R7" s="827" t="s">
        <v>566</v>
      </c>
      <c r="S7" s="827" t="s">
        <v>567</v>
      </c>
      <c r="T7" s="827" t="s">
        <v>565</v>
      </c>
      <c r="U7" s="827" t="s">
        <v>568</v>
      </c>
      <c r="V7" s="827"/>
      <c r="W7" s="827"/>
      <c r="X7" s="827"/>
      <c r="Y7" s="827"/>
      <c r="Z7" s="827"/>
      <c r="AA7" s="350" t="s">
        <v>569</v>
      </c>
      <c r="AB7" s="350" t="s">
        <v>570</v>
      </c>
      <c r="AC7" s="827"/>
      <c r="AD7" s="827"/>
      <c r="AE7" s="829"/>
      <c r="AF7" s="829"/>
      <c r="AG7" s="829"/>
      <c r="AH7" s="827"/>
      <c r="AI7" s="827"/>
      <c r="AJ7" s="828"/>
      <c r="AK7" s="244"/>
    </row>
    <row r="8" spans="1:37" ht="73.5" customHeight="1" x14ac:dyDescent="0.2">
      <c r="A8" s="830"/>
      <c r="B8" s="827"/>
      <c r="C8" s="827"/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27"/>
      <c r="V8" s="350" t="s">
        <v>571</v>
      </c>
      <c r="W8" s="350" t="s">
        <v>566</v>
      </c>
      <c r="X8" s="350" t="s">
        <v>567</v>
      </c>
      <c r="Y8" s="245" t="s">
        <v>572</v>
      </c>
      <c r="Z8" s="350" t="s">
        <v>19</v>
      </c>
      <c r="AA8" s="827" t="s">
        <v>582</v>
      </c>
      <c r="AB8" s="827"/>
      <c r="AC8" s="350" t="s">
        <v>573</v>
      </c>
      <c r="AD8" s="350" t="s">
        <v>574</v>
      </c>
      <c r="AE8" s="829"/>
      <c r="AF8" s="829"/>
      <c r="AG8" s="829"/>
      <c r="AH8" s="827"/>
      <c r="AI8" s="827"/>
      <c r="AJ8" s="828"/>
      <c r="AK8" s="244"/>
    </row>
    <row r="9" spans="1:37" x14ac:dyDescent="0.2">
      <c r="A9" s="246">
        <v>10</v>
      </c>
      <c r="B9" s="392" t="s">
        <v>785</v>
      </c>
      <c r="C9" s="247">
        <v>55</v>
      </c>
      <c r="D9" s="247">
        <f t="shared" ref="D9" si="0">C9*21</f>
        <v>1155</v>
      </c>
      <c r="E9" s="393">
        <v>1</v>
      </c>
      <c r="F9" s="248">
        <f>49066.72*1.042</f>
        <v>51127.522240000006</v>
      </c>
      <c r="G9" s="248">
        <f t="shared" ref="G9" si="1">F9*30.2%</f>
        <v>15440.511716480001</v>
      </c>
      <c r="H9" s="393">
        <v>4</v>
      </c>
      <c r="I9" s="248">
        <f>162495.74*1.042</f>
        <v>169320.56107999998</v>
      </c>
      <c r="J9" s="248">
        <f t="shared" ref="J9" si="2">I9*30.2%</f>
        <v>51134.80944615999</v>
      </c>
      <c r="K9" s="393"/>
      <c r="L9" s="248"/>
      <c r="M9" s="248">
        <f t="shared" ref="M9" si="3">L9*30.2%</f>
        <v>0</v>
      </c>
      <c r="N9" s="393">
        <v>0.5</v>
      </c>
      <c r="O9" s="248">
        <f>27445.42*1.042</f>
        <v>28598.127639999999</v>
      </c>
      <c r="P9" s="248">
        <f t="shared" ref="P9" si="4">O9*30.2%</f>
        <v>8636.6345472799985</v>
      </c>
      <c r="Q9" s="393">
        <v>1</v>
      </c>
      <c r="R9" s="248">
        <f>27217.86*1.042</f>
        <v>28361.010120000003</v>
      </c>
      <c r="S9" s="248">
        <f t="shared" ref="S9" si="5">R9*30.2%</f>
        <v>8565.0250562399997</v>
      </c>
      <c r="T9" s="393"/>
      <c r="U9" s="248"/>
      <c r="V9" s="248">
        <f t="shared" ref="V9" si="6">E9+H9+K9+N9+Q9+T9</f>
        <v>6.5</v>
      </c>
      <c r="W9" s="248">
        <f t="shared" ref="W9" si="7">F9+I9+L9+O9+R9</f>
        <v>277407.22107999999</v>
      </c>
      <c r="X9" s="248">
        <f>G9+J9+M9+P9+S9</f>
        <v>83776.980766159992</v>
      </c>
      <c r="Y9" s="248">
        <f t="shared" ref="Y9" si="8">U9</f>
        <v>0</v>
      </c>
      <c r="Z9" s="248">
        <f t="shared" ref="Z9" si="9">W9+X9+Y9</f>
        <v>361184.20184615999</v>
      </c>
      <c r="AA9" s="248">
        <f>266.9*1.042</f>
        <v>278.10980000000001</v>
      </c>
      <c r="AB9" s="248">
        <f t="shared" ref="AB9" si="10">AA9*C9*21</f>
        <v>321216.81900000002</v>
      </c>
      <c r="AC9" s="248">
        <f t="shared" ref="AC9" si="11">AD9/C9</f>
        <v>326.90909090909093</v>
      </c>
      <c r="AD9" s="248">
        <v>17980</v>
      </c>
      <c r="AE9" s="248">
        <v>4</v>
      </c>
      <c r="AF9" s="248">
        <v>990</v>
      </c>
      <c r="AG9" s="248">
        <f t="shared" ref="AG9" si="12">AE9*AF9</f>
        <v>3960</v>
      </c>
      <c r="AH9" s="247">
        <f t="shared" ref="AH9" si="13">AD9+AB9+Z9+AG9</f>
        <v>704341.02084616001</v>
      </c>
      <c r="AI9" s="249">
        <f t="shared" ref="AI9" si="14">AH9/C9</f>
        <v>12806.200379021091</v>
      </c>
      <c r="AJ9" s="250">
        <v>12420</v>
      </c>
      <c r="AK9" s="394"/>
    </row>
    <row r="10" spans="1:37" s="265" customFormat="1" ht="13.5" x14ac:dyDescent="0.25">
      <c r="A10" s="260"/>
      <c r="B10" s="261" t="s">
        <v>4</v>
      </c>
      <c r="C10" s="262">
        <f t="shared" ref="C10:V10" si="15">SUM(C9:C9)</f>
        <v>55</v>
      </c>
      <c r="D10" s="262">
        <f t="shared" si="15"/>
        <v>1155</v>
      </c>
      <c r="E10" s="262">
        <f t="shared" si="15"/>
        <v>1</v>
      </c>
      <c r="F10" s="262">
        <f t="shared" si="15"/>
        <v>51127.522240000006</v>
      </c>
      <c r="G10" s="262">
        <f t="shared" si="15"/>
        <v>15440.511716480001</v>
      </c>
      <c r="H10" s="262">
        <f t="shared" si="15"/>
        <v>4</v>
      </c>
      <c r="I10" s="262">
        <f t="shared" si="15"/>
        <v>169320.56107999998</v>
      </c>
      <c r="J10" s="262">
        <f t="shared" si="15"/>
        <v>51134.80944615999</v>
      </c>
      <c r="K10" s="262">
        <f t="shared" si="15"/>
        <v>0</v>
      </c>
      <c r="L10" s="262">
        <f t="shared" si="15"/>
        <v>0</v>
      </c>
      <c r="M10" s="262">
        <f t="shared" si="15"/>
        <v>0</v>
      </c>
      <c r="N10" s="262">
        <f t="shared" si="15"/>
        <v>0.5</v>
      </c>
      <c r="O10" s="262">
        <f t="shared" si="15"/>
        <v>28598.127639999999</v>
      </c>
      <c r="P10" s="262">
        <f t="shared" si="15"/>
        <v>8636.6345472799985</v>
      </c>
      <c r="Q10" s="262">
        <f t="shared" si="15"/>
        <v>1</v>
      </c>
      <c r="R10" s="262">
        <f t="shared" si="15"/>
        <v>28361.010120000003</v>
      </c>
      <c r="S10" s="262">
        <f t="shared" si="15"/>
        <v>8565.0250562399997</v>
      </c>
      <c r="T10" s="262">
        <f t="shared" si="15"/>
        <v>0</v>
      </c>
      <c r="U10" s="262">
        <f t="shared" si="15"/>
        <v>0</v>
      </c>
      <c r="V10" s="262">
        <f t="shared" si="15"/>
        <v>6.5</v>
      </c>
      <c r="W10" s="262">
        <f>ROUND(SUM(W9:W9),0)+3</f>
        <v>277410</v>
      </c>
      <c r="X10" s="262">
        <f>ROUND(SUM(X9:X9),)+3</f>
        <v>83780</v>
      </c>
      <c r="Y10" s="262">
        <f>SUM(Y9:Y9)</f>
        <v>0</v>
      </c>
      <c r="Z10" s="262">
        <f>W10+X10+Y10</f>
        <v>361190</v>
      </c>
      <c r="AA10" s="262"/>
      <c r="AB10" s="262">
        <f>ROUND(SUM(AB9:AB9),0)-21247</f>
        <v>299970</v>
      </c>
      <c r="AC10" s="262">
        <f>SUM(AC9:AC9)</f>
        <v>326.90909090909093</v>
      </c>
      <c r="AD10" s="262">
        <f>SUM(AD9:AD9)</f>
        <v>17980</v>
      </c>
      <c r="AE10" s="262">
        <f>SUM(AE9:AE9)</f>
        <v>4</v>
      </c>
      <c r="AF10" s="262"/>
      <c r="AG10" s="262">
        <f>SUM(AG9:AG9)</f>
        <v>3960</v>
      </c>
      <c r="AH10" s="262">
        <f>Z10+AB10+AD10+AG10</f>
        <v>683100</v>
      </c>
      <c r="AI10" s="263"/>
      <c r="AJ10" s="264"/>
    </row>
  </sheetData>
  <mergeCells count="37">
    <mergeCell ref="H6:J6"/>
    <mergeCell ref="A6:A8"/>
    <mergeCell ref="B6:B8"/>
    <mergeCell ref="C6:C8"/>
    <mergeCell ref="D6:D8"/>
    <mergeCell ref="E6:G6"/>
    <mergeCell ref="AA6:AB6"/>
    <mergeCell ref="N7:N8"/>
    <mergeCell ref="O7:O8"/>
    <mergeCell ref="P7:P8"/>
    <mergeCell ref="Q7:Q8"/>
    <mergeCell ref="AA8:AB8"/>
    <mergeCell ref="K6:M6"/>
    <mergeCell ref="N6:P6"/>
    <mergeCell ref="Q6:S6"/>
    <mergeCell ref="T6:U6"/>
    <mergeCell ref="V6:Z7"/>
    <mergeCell ref="R7:R8"/>
    <mergeCell ref="S7:S8"/>
    <mergeCell ref="T7:T8"/>
    <mergeCell ref="U7:U8"/>
    <mergeCell ref="AJ6:AJ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C6:AD7"/>
    <mergeCell ref="AE6:AE8"/>
    <mergeCell ref="AF6:AF8"/>
    <mergeCell ref="AG6:AG8"/>
    <mergeCell ref="AH6:AH8"/>
    <mergeCell ref="AI6:AI8"/>
  </mergeCells>
  <printOptions horizontalCentered="1"/>
  <pageMargins left="0.7" right="0.7" top="0.75" bottom="0.75" header="0.3" footer="0.3"/>
  <pageSetup paperSize="9" scale="51" orientation="landscape" r:id="rId1"/>
  <headerFooter alignWithMargins="0"/>
  <colBreaks count="1" manualBreakCount="1">
    <brk id="21" max="2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I9"/>
  <sheetViews>
    <sheetView view="pageBreakPreview" zoomScaleNormal="100" zoomScaleSheetLayoutView="100" workbookViewId="0">
      <selection activeCell="CL134" sqref="CL134:DA134"/>
    </sheetView>
  </sheetViews>
  <sheetFormatPr defaultRowHeight="12.75" x14ac:dyDescent="0.2"/>
  <cols>
    <col min="1" max="1" width="26.7109375" style="251" bestFit="1" customWidth="1"/>
    <col min="2" max="2" width="13.5703125" style="251" customWidth="1"/>
    <col min="3" max="3" width="9.28515625" style="251" customWidth="1"/>
    <col min="4" max="6" width="12.140625" style="251" customWidth="1"/>
    <col min="7" max="7" width="13.42578125" style="251" hidden="1" customWidth="1"/>
    <col min="8" max="8" width="14" style="251" hidden="1" customWidth="1"/>
    <col min="9" max="9" width="12.7109375" style="251" customWidth="1"/>
    <col min="10" max="252" width="9.140625" style="251"/>
    <col min="253" max="253" width="31.140625" style="251" customWidth="1"/>
    <col min="254" max="255" width="8.7109375" style="251" customWidth="1"/>
    <col min="256" max="256" width="0.28515625" style="251" customWidth="1"/>
    <col min="257" max="257" width="11.7109375" style="251" customWidth="1"/>
    <col min="258" max="258" width="13.5703125" style="251" customWidth="1"/>
    <col min="259" max="259" width="9.28515625" style="251" customWidth="1"/>
    <col min="260" max="262" width="12.140625" style="251" customWidth="1"/>
    <col min="263" max="264" width="0" style="251" hidden="1" customWidth="1"/>
    <col min="265" max="265" width="12.7109375" style="251" customWidth="1"/>
    <col min="266" max="508" width="9.140625" style="251"/>
    <col min="509" max="509" width="31.140625" style="251" customWidth="1"/>
    <col min="510" max="511" width="8.7109375" style="251" customWidth="1"/>
    <col min="512" max="512" width="0.28515625" style="251" customWidth="1"/>
    <col min="513" max="513" width="11.7109375" style="251" customWidth="1"/>
    <col min="514" max="514" width="13.5703125" style="251" customWidth="1"/>
    <col min="515" max="515" width="9.28515625" style="251" customWidth="1"/>
    <col min="516" max="518" width="12.140625" style="251" customWidth="1"/>
    <col min="519" max="520" width="0" style="251" hidden="1" customWidth="1"/>
    <col min="521" max="521" width="12.7109375" style="251" customWidth="1"/>
    <col min="522" max="764" width="9.140625" style="251"/>
    <col min="765" max="765" width="31.140625" style="251" customWidth="1"/>
    <col min="766" max="767" width="8.7109375" style="251" customWidth="1"/>
    <col min="768" max="768" width="0.28515625" style="251" customWidth="1"/>
    <col min="769" max="769" width="11.7109375" style="251" customWidth="1"/>
    <col min="770" max="770" width="13.5703125" style="251" customWidth="1"/>
    <col min="771" max="771" width="9.28515625" style="251" customWidth="1"/>
    <col min="772" max="774" width="12.140625" style="251" customWidth="1"/>
    <col min="775" max="776" width="0" style="251" hidden="1" customWidth="1"/>
    <col min="777" max="777" width="12.7109375" style="251" customWidth="1"/>
    <col min="778" max="1020" width="9.140625" style="251"/>
    <col min="1021" max="1021" width="31.140625" style="251" customWidth="1"/>
    <col min="1022" max="1023" width="8.7109375" style="251" customWidth="1"/>
    <col min="1024" max="1024" width="0.28515625" style="251" customWidth="1"/>
    <col min="1025" max="1025" width="11.7109375" style="251" customWidth="1"/>
    <col min="1026" max="1026" width="13.5703125" style="251" customWidth="1"/>
    <col min="1027" max="1027" width="9.28515625" style="251" customWidth="1"/>
    <col min="1028" max="1030" width="12.140625" style="251" customWidth="1"/>
    <col min="1031" max="1032" width="0" style="251" hidden="1" customWidth="1"/>
    <col min="1033" max="1033" width="12.7109375" style="251" customWidth="1"/>
    <col min="1034" max="1276" width="9.140625" style="251"/>
    <col min="1277" max="1277" width="31.140625" style="251" customWidth="1"/>
    <col min="1278" max="1279" width="8.7109375" style="251" customWidth="1"/>
    <col min="1280" max="1280" width="0.28515625" style="251" customWidth="1"/>
    <col min="1281" max="1281" width="11.7109375" style="251" customWidth="1"/>
    <col min="1282" max="1282" width="13.5703125" style="251" customWidth="1"/>
    <col min="1283" max="1283" width="9.28515625" style="251" customWidth="1"/>
    <col min="1284" max="1286" width="12.140625" style="251" customWidth="1"/>
    <col min="1287" max="1288" width="0" style="251" hidden="1" customWidth="1"/>
    <col min="1289" max="1289" width="12.7109375" style="251" customWidth="1"/>
    <col min="1290" max="1532" width="9.140625" style="251"/>
    <col min="1533" max="1533" width="31.140625" style="251" customWidth="1"/>
    <col min="1534" max="1535" width="8.7109375" style="251" customWidth="1"/>
    <col min="1536" max="1536" width="0.28515625" style="251" customWidth="1"/>
    <col min="1537" max="1537" width="11.7109375" style="251" customWidth="1"/>
    <col min="1538" max="1538" width="13.5703125" style="251" customWidth="1"/>
    <col min="1539" max="1539" width="9.28515625" style="251" customWidth="1"/>
    <col min="1540" max="1542" width="12.140625" style="251" customWidth="1"/>
    <col min="1543" max="1544" width="0" style="251" hidden="1" customWidth="1"/>
    <col min="1545" max="1545" width="12.7109375" style="251" customWidth="1"/>
    <col min="1546" max="1788" width="9.140625" style="251"/>
    <col min="1789" max="1789" width="31.140625" style="251" customWidth="1"/>
    <col min="1790" max="1791" width="8.7109375" style="251" customWidth="1"/>
    <col min="1792" max="1792" width="0.28515625" style="251" customWidth="1"/>
    <col min="1793" max="1793" width="11.7109375" style="251" customWidth="1"/>
    <col min="1794" max="1794" width="13.5703125" style="251" customWidth="1"/>
    <col min="1795" max="1795" width="9.28515625" style="251" customWidth="1"/>
    <col min="1796" max="1798" width="12.140625" style="251" customWidth="1"/>
    <col min="1799" max="1800" width="0" style="251" hidden="1" customWidth="1"/>
    <col min="1801" max="1801" width="12.7109375" style="251" customWidth="1"/>
    <col min="1802" max="2044" width="9.140625" style="251"/>
    <col min="2045" max="2045" width="31.140625" style="251" customWidth="1"/>
    <col min="2046" max="2047" width="8.7109375" style="251" customWidth="1"/>
    <col min="2048" max="2048" width="0.28515625" style="251" customWidth="1"/>
    <col min="2049" max="2049" width="11.7109375" style="251" customWidth="1"/>
    <col min="2050" max="2050" width="13.5703125" style="251" customWidth="1"/>
    <col min="2051" max="2051" width="9.28515625" style="251" customWidth="1"/>
    <col min="2052" max="2054" width="12.140625" style="251" customWidth="1"/>
    <col min="2055" max="2056" width="0" style="251" hidden="1" customWidth="1"/>
    <col min="2057" max="2057" width="12.7109375" style="251" customWidth="1"/>
    <col min="2058" max="2300" width="9.140625" style="251"/>
    <col min="2301" max="2301" width="31.140625" style="251" customWidth="1"/>
    <col min="2302" max="2303" width="8.7109375" style="251" customWidth="1"/>
    <col min="2304" max="2304" width="0.28515625" style="251" customWidth="1"/>
    <col min="2305" max="2305" width="11.7109375" style="251" customWidth="1"/>
    <col min="2306" max="2306" width="13.5703125" style="251" customWidth="1"/>
    <col min="2307" max="2307" width="9.28515625" style="251" customWidth="1"/>
    <col min="2308" max="2310" width="12.140625" style="251" customWidth="1"/>
    <col min="2311" max="2312" width="0" style="251" hidden="1" customWidth="1"/>
    <col min="2313" max="2313" width="12.7109375" style="251" customWidth="1"/>
    <col min="2314" max="2556" width="9.140625" style="251"/>
    <col min="2557" max="2557" width="31.140625" style="251" customWidth="1"/>
    <col min="2558" max="2559" width="8.7109375" style="251" customWidth="1"/>
    <col min="2560" max="2560" width="0.28515625" style="251" customWidth="1"/>
    <col min="2561" max="2561" width="11.7109375" style="251" customWidth="1"/>
    <col min="2562" max="2562" width="13.5703125" style="251" customWidth="1"/>
    <col min="2563" max="2563" width="9.28515625" style="251" customWidth="1"/>
    <col min="2564" max="2566" width="12.140625" style="251" customWidth="1"/>
    <col min="2567" max="2568" width="0" style="251" hidden="1" customWidth="1"/>
    <col min="2569" max="2569" width="12.7109375" style="251" customWidth="1"/>
    <col min="2570" max="2812" width="9.140625" style="251"/>
    <col min="2813" max="2813" width="31.140625" style="251" customWidth="1"/>
    <col min="2814" max="2815" width="8.7109375" style="251" customWidth="1"/>
    <col min="2816" max="2816" width="0.28515625" style="251" customWidth="1"/>
    <col min="2817" max="2817" width="11.7109375" style="251" customWidth="1"/>
    <col min="2818" max="2818" width="13.5703125" style="251" customWidth="1"/>
    <col min="2819" max="2819" width="9.28515625" style="251" customWidth="1"/>
    <col min="2820" max="2822" width="12.140625" style="251" customWidth="1"/>
    <col min="2823" max="2824" width="0" style="251" hidden="1" customWidth="1"/>
    <col min="2825" max="2825" width="12.7109375" style="251" customWidth="1"/>
    <col min="2826" max="3068" width="9.140625" style="251"/>
    <col min="3069" max="3069" width="31.140625" style="251" customWidth="1"/>
    <col min="3070" max="3071" width="8.7109375" style="251" customWidth="1"/>
    <col min="3072" max="3072" width="0.28515625" style="251" customWidth="1"/>
    <col min="3073" max="3073" width="11.7109375" style="251" customWidth="1"/>
    <col min="3074" max="3074" width="13.5703125" style="251" customWidth="1"/>
    <col min="3075" max="3075" width="9.28515625" style="251" customWidth="1"/>
    <col min="3076" max="3078" width="12.140625" style="251" customWidth="1"/>
    <col min="3079" max="3080" width="0" style="251" hidden="1" customWidth="1"/>
    <col min="3081" max="3081" width="12.7109375" style="251" customWidth="1"/>
    <col min="3082" max="3324" width="9.140625" style="251"/>
    <col min="3325" max="3325" width="31.140625" style="251" customWidth="1"/>
    <col min="3326" max="3327" width="8.7109375" style="251" customWidth="1"/>
    <col min="3328" max="3328" width="0.28515625" style="251" customWidth="1"/>
    <col min="3329" max="3329" width="11.7109375" style="251" customWidth="1"/>
    <col min="3330" max="3330" width="13.5703125" style="251" customWidth="1"/>
    <col min="3331" max="3331" width="9.28515625" style="251" customWidth="1"/>
    <col min="3332" max="3334" width="12.140625" style="251" customWidth="1"/>
    <col min="3335" max="3336" width="0" style="251" hidden="1" customWidth="1"/>
    <col min="3337" max="3337" width="12.7109375" style="251" customWidth="1"/>
    <col min="3338" max="3580" width="9.140625" style="251"/>
    <col min="3581" max="3581" width="31.140625" style="251" customWidth="1"/>
    <col min="3582" max="3583" width="8.7109375" style="251" customWidth="1"/>
    <col min="3584" max="3584" width="0.28515625" style="251" customWidth="1"/>
    <col min="3585" max="3585" width="11.7109375" style="251" customWidth="1"/>
    <col min="3586" max="3586" width="13.5703125" style="251" customWidth="1"/>
    <col min="3587" max="3587" width="9.28515625" style="251" customWidth="1"/>
    <col min="3588" max="3590" width="12.140625" style="251" customWidth="1"/>
    <col min="3591" max="3592" width="0" style="251" hidden="1" customWidth="1"/>
    <col min="3593" max="3593" width="12.7109375" style="251" customWidth="1"/>
    <col min="3594" max="3836" width="9.140625" style="251"/>
    <col min="3837" max="3837" width="31.140625" style="251" customWidth="1"/>
    <col min="3838" max="3839" width="8.7109375" style="251" customWidth="1"/>
    <col min="3840" max="3840" width="0.28515625" style="251" customWidth="1"/>
    <col min="3841" max="3841" width="11.7109375" style="251" customWidth="1"/>
    <col min="3842" max="3842" width="13.5703125" style="251" customWidth="1"/>
    <col min="3843" max="3843" width="9.28515625" style="251" customWidth="1"/>
    <col min="3844" max="3846" width="12.140625" style="251" customWidth="1"/>
    <col min="3847" max="3848" width="0" style="251" hidden="1" customWidth="1"/>
    <col min="3849" max="3849" width="12.7109375" style="251" customWidth="1"/>
    <col min="3850" max="4092" width="9.140625" style="251"/>
    <col min="4093" max="4093" width="31.140625" style="251" customWidth="1"/>
    <col min="4094" max="4095" width="8.7109375" style="251" customWidth="1"/>
    <col min="4096" max="4096" width="0.28515625" style="251" customWidth="1"/>
    <col min="4097" max="4097" width="11.7109375" style="251" customWidth="1"/>
    <col min="4098" max="4098" width="13.5703125" style="251" customWidth="1"/>
    <col min="4099" max="4099" width="9.28515625" style="251" customWidth="1"/>
    <col min="4100" max="4102" width="12.140625" style="251" customWidth="1"/>
    <col min="4103" max="4104" width="0" style="251" hidden="1" customWidth="1"/>
    <col min="4105" max="4105" width="12.7109375" style="251" customWidth="1"/>
    <col min="4106" max="4348" width="9.140625" style="251"/>
    <col min="4349" max="4349" width="31.140625" style="251" customWidth="1"/>
    <col min="4350" max="4351" width="8.7109375" style="251" customWidth="1"/>
    <col min="4352" max="4352" width="0.28515625" style="251" customWidth="1"/>
    <col min="4353" max="4353" width="11.7109375" style="251" customWidth="1"/>
    <col min="4354" max="4354" width="13.5703125" style="251" customWidth="1"/>
    <col min="4355" max="4355" width="9.28515625" style="251" customWidth="1"/>
    <col min="4356" max="4358" width="12.140625" style="251" customWidth="1"/>
    <col min="4359" max="4360" width="0" style="251" hidden="1" customWidth="1"/>
    <col min="4361" max="4361" width="12.7109375" style="251" customWidth="1"/>
    <col min="4362" max="4604" width="9.140625" style="251"/>
    <col min="4605" max="4605" width="31.140625" style="251" customWidth="1"/>
    <col min="4606" max="4607" width="8.7109375" style="251" customWidth="1"/>
    <col min="4608" max="4608" width="0.28515625" style="251" customWidth="1"/>
    <col min="4609" max="4609" width="11.7109375" style="251" customWidth="1"/>
    <col min="4610" max="4610" width="13.5703125" style="251" customWidth="1"/>
    <col min="4611" max="4611" width="9.28515625" style="251" customWidth="1"/>
    <col min="4612" max="4614" width="12.140625" style="251" customWidth="1"/>
    <col min="4615" max="4616" width="0" style="251" hidden="1" customWidth="1"/>
    <col min="4617" max="4617" width="12.7109375" style="251" customWidth="1"/>
    <col min="4618" max="4860" width="9.140625" style="251"/>
    <col min="4861" max="4861" width="31.140625" style="251" customWidth="1"/>
    <col min="4862" max="4863" width="8.7109375" style="251" customWidth="1"/>
    <col min="4864" max="4864" width="0.28515625" style="251" customWidth="1"/>
    <col min="4865" max="4865" width="11.7109375" style="251" customWidth="1"/>
    <col min="4866" max="4866" width="13.5703125" style="251" customWidth="1"/>
    <col min="4867" max="4867" width="9.28515625" style="251" customWidth="1"/>
    <col min="4868" max="4870" width="12.140625" style="251" customWidth="1"/>
    <col min="4871" max="4872" width="0" style="251" hidden="1" customWidth="1"/>
    <col min="4873" max="4873" width="12.7109375" style="251" customWidth="1"/>
    <col min="4874" max="5116" width="9.140625" style="251"/>
    <col min="5117" max="5117" width="31.140625" style="251" customWidth="1"/>
    <col min="5118" max="5119" width="8.7109375" style="251" customWidth="1"/>
    <col min="5120" max="5120" width="0.28515625" style="251" customWidth="1"/>
    <col min="5121" max="5121" width="11.7109375" style="251" customWidth="1"/>
    <col min="5122" max="5122" width="13.5703125" style="251" customWidth="1"/>
    <col min="5123" max="5123" width="9.28515625" style="251" customWidth="1"/>
    <col min="5124" max="5126" width="12.140625" style="251" customWidth="1"/>
    <col min="5127" max="5128" width="0" style="251" hidden="1" customWidth="1"/>
    <col min="5129" max="5129" width="12.7109375" style="251" customWidth="1"/>
    <col min="5130" max="5372" width="9.140625" style="251"/>
    <col min="5373" max="5373" width="31.140625" style="251" customWidth="1"/>
    <col min="5374" max="5375" width="8.7109375" style="251" customWidth="1"/>
    <col min="5376" max="5376" width="0.28515625" style="251" customWidth="1"/>
    <col min="5377" max="5377" width="11.7109375" style="251" customWidth="1"/>
    <col min="5378" max="5378" width="13.5703125" style="251" customWidth="1"/>
    <col min="5379" max="5379" width="9.28515625" style="251" customWidth="1"/>
    <col min="5380" max="5382" width="12.140625" style="251" customWidth="1"/>
    <col min="5383" max="5384" width="0" style="251" hidden="1" customWidth="1"/>
    <col min="5385" max="5385" width="12.7109375" style="251" customWidth="1"/>
    <col min="5386" max="5628" width="9.140625" style="251"/>
    <col min="5629" max="5629" width="31.140625" style="251" customWidth="1"/>
    <col min="5630" max="5631" width="8.7109375" style="251" customWidth="1"/>
    <col min="5632" max="5632" width="0.28515625" style="251" customWidth="1"/>
    <col min="5633" max="5633" width="11.7109375" style="251" customWidth="1"/>
    <col min="5634" max="5634" width="13.5703125" style="251" customWidth="1"/>
    <col min="5635" max="5635" width="9.28515625" style="251" customWidth="1"/>
    <col min="5636" max="5638" width="12.140625" style="251" customWidth="1"/>
    <col min="5639" max="5640" width="0" style="251" hidden="1" customWidth="1"/>
    <col min="5641" max="5641" width="12.7109375" style="251" customWidth="1"/>
    <col min="5642" max="5884" width="9.140625" style="251"/>
    <col min="5885" max="5885" width="31.140625" style="251" customWidth="1"/>
    <col min="5886" max="5887" width="8.7109375" style="251" customWidth="1"/>
    <col min="5888" max="5888" width="0.28515625" style="251" customWidth="1"/>
    <col min="5889" max="5889" width="11.7109375" style="251" customWidth="1"/>
    <col min="5890" max="5890" width="13.5703125" style="251" customWidth="1"/>
    <col min="5891" max="5891" width="9.28515625" style="251" customWidth="1"/>
    <col min="5892" max="5894" width="12.140625" style="251" customWidth="1"/>
    <col min="5895" max="5896" width="0" style="251" hidden="1" customWidth="1"/>
    <col min="5897" max="5897" width="12.7109375" style="251" customWidth="1"/>
    <col min="5898" max="6140" width="9.140625" style="251"/>
    <col min="6141" max="6141" width="31.140625" style="251" customWidth="1"/>
    <col min="6142" max="6143" width="8.7109375" style="251" customWidth="1"/>
    <col min="6144" max="6144" width="0.28515625" style="251" customWidth="1"/>
    <col min="6145" max="6145" width="11.7109375" style="251" customWidth="1"/>
    <col min="6146" max="6146" width="13.5703125" style="251" customWidth="1"/>
    <col min="6147" max="6147" width="9.28515625" style="251" customWidth="1"/>
    <col min="6148" max="6150" width="12.140625" style="251" customWidth="1"/>
    <col min="6151" max="6152" width="0" style="251" hidden="1" customWidth="1"/>
    <col min="6153" max="6153" width="12.7109375" style="251" customWidth="1"/>
    <col min="6154" max="6396" width="9.140625" style="251"/>
    <col min="6397" max="6397" width="31.140625" style="251" customWidth="1"/>
    <col min="6398" max="6399" width="8.7109375" style="251" customWidth="1"/>
    <col min="6400" max="6400" width="0.28515625" style="251" customWidth="1"/>
    <col min="6401" max="6401" width="11.7109375" style="251" customWidth="1"/>
    <col min="6402" max="6402" width="13.5703125" style="251" customWidth="1"/>
    <col min="6403" max="6403" width="9.28515625" style="251" customWidth="1"/>
    <col min="6404" max="6406" width="12.140625" style="251" customWidth="1"/>
    <col min="6407" max="6408" width="0" style="251" hidden="1" customWidth="1"/>
    <col min="6409" max="6409" width="12.7109375" style="251" customWidth="1"/>
    <col min="6410" max="6652" width="9.140625" style="251"/>
    <col min="6653" max="6653" width="31.140625" style="251" customWidth="1"/>
    <col min="6654" max="6655" width="8.7109375" style="251" customWidth="1"/>
    <col min="6656" max="6656" width="0.28515625" style="251" customWidth="1"/>
    <col min="6657" max="6657" width="11.7109375" style="251" customWidth="1"/>
    <col min="6658" max="6658" width="13.5703125" style="251" customWidth="1"/>
    <col min="6659" max="6659" width="9.28515625" style="251" customWidth="1"/>
    <col min="6660" max="6662" width="12.140625" style="251" customWidth="1"/>
    <col min="6663" max="6664" width="0" style="251" hidden="1" customWidth="1"/>
    <col min="6665" max="6665" width="12.7109375" style="251" customWidth="1"/>
    <col min="6666" max="6908" width="9.140625" style="251"/>
    <col min="6909" max="6909" width="31.140625" style="251" customWidth="1"/>
    <col min="6910" max="6911" width="8.7109375" style="251" customWidth="1"/>
    <col min="6912" max="6912" width="0.28515625" style="251" customWidth="1"/>
    <col min="6913" max="6913" width="11.7109375" style="251" customWidth="1"/>
    <col min="6914" max="6914" width="13.5703125" style="251" customWidth="1"/>
    <col min="6915" max="6915" width="9.28515625" style="251" customWidth="1"/>
    <col min="6916" max="6918" width="12.140625" style="251" customWidth="1"/>
    <col min="6919" max="6920" width="0" style="251" hidden="1" customWidth="1"/>
    <col min="6921" max="6921" width="12.7109375" style="251" customWidth="1"/>
    <col min="6922" max="7164" width="9.140625" style="251"/>
    <col min="7165" max="7165" width="31.140625" style="251" customWidth="1"/>
    <col min="7166" max="7167" width="8.7109375" style="251" customWidth="1"/>
    <col min="7168" max="7168" width="0.28515625" style="251" customWidth="1"/>
    <col min="7169" max="7169" width="11.7109375" style="251" customWidth="1"/>
    <col min="7170" max="7170" width="13.5703125" style="251" customWidth="1"/>
    <col min="7171" max="7171" width="9.28515625" style="251" customWidth="1"/>
    <col min="7172" max="7174" width="12.140625" style="251" customWidth="1"/>
    <col min="7175" max="7176" width="0" style="251" hidden="1" customWidth="1"/>
    <col min="7177" max="7177" width="12.7109375" style="251" customWidth="1"/>
    <col min="7178" max="7420" width="9.140625" style="251"/>
    <col min="7421" max="7421" width="31.140625" style="251" customWidth="1"/>
    <col min="7422" max="7423" width="8.7109375" style="251" customWidth="1"/>
    <col min="7424" max="7424" width="0.28515625" style="251" customWidth="1"/>
    <col min="7425" max="7425" width="11.7109375" style="251" customWidth="1"/>
    <col min="7426" max="7426" width="13.5703125" style="251" customWidth="1"/>
    <col min="7427" max="7427" width="9.28515625" style="251" customWidth="1"/>
    <col min="7428" max="7430" width="12.140625" style="251" customWidth="1"/>
    <col min="7431" max="7432" width="0" style="251" hidden="1" customWidth="1"/>
    <col min="7433" max="7433" width="12.7109375" style="251" customWidth="1"/>
    <col min="7434" max="7676" width="9.140625" style="251"/>
    <col min="7677" max="7677" width="31.140625" style="251" customWidth="1"/>
    <col min="7678" max="7679" width="8.7109375" style="251" customWidth="1"/>
    <col min="7680" max="7680" width="0.28515625" style="251" customWidth="1"/>
    <col min="7681" max="7681" width="11.7109375" style="251" customWidth="1"/>
    <col min="7682" max="7682" width="13.5703125" style="251" customWidth="1"/>
    <col min="7683" max="7683" width="9.28515625" style="251" customWidth="1"/>
    <col min="7684" max="7686" width="12.140625" style="251" customWidth="1"/>
    <col min="7687" max="7688" width="0" style="251" hidden="1" customWidth="1"/>
    <col min="7689" max="7689" width="12.7109375" style="251" customWidth="1"/>
    <col min="7690" max="7932" width="9.140625" style="251"/>
    <col min="7933" max="7933" width="31.140625" style="251" customWidth="1"/>
    <col min="7934" max="7935" width="8.7109375" style="251" customWidth="1"/>
    <col min="7936" max="7936" width="0.28515625" style="251" customWidth="1"/>
    <col min="7937" max="7937" width="11.7109375" style="251" customWidth="1"/>
    <col min="7938" max="7938" width="13.5703125" style="251" customWidth="1"/>
    <col min="7939" max="7939" width="9.28515625" style="251" customWidth="1"/>
    <col min="7940" max="7942" width="12.140625" style="251" customWidth="1"/>
    <col min="7943" max="7944" width="0" style="251" hidden="1" customWidth="1"/>
    <col min="7945" max="7945" width="12.7109375" style="251" customWidth="1"/>
    <col min="7946" max="8188" width="9.140625" style="251"/>
    <col min="8189" max="8189" width="31.140625" style="251" customWidth="1"/>
    <col min="8190" max="8191" width="8.7109375" style="251" customWidth="1"/>
    <col min="8192" max="8192" width="0.28515625" style="251" customWidth="1"/>
    <col min="8193" max="8193" width="11.7109375" style="251" customWidth="1"/>
    <col min="8194" max="8194" width="13.5703125" style="251" customWidth="1"/>
    <col min="8195" max="8195" width="9.28515625" style="251" customWidth="1"/>
    <col min="8196" max="8198" width="12.140625" style="251" customWidth="1"/>
    <col min="8199" max="8200" width="0" style="251" hidden="1" customWidth="1"/>
    <col min="8201" max="8201" width="12.7109375" style="251" customWidth="1"/>
    <col min="8202" max="8444" width="9.140625" style="251"/>
    <col min="8445" max="8445" width="31.140625" style="251" customWidth="1"/>
    <col min="8446" max="8447" width="8.7109375" style="251" customWidth="1"/>
    <col min="8448" max="8448" width="0.28515625" style="251" customWidth="1"/>
    <col min="8449" max="8449" width="11.7109375" style="251" customWidth="1"/>
    <col min="8450" max="8450" width="13.5703125" style="251" customWidth="1"/>
    <col min="8451" max="8451" width="9.28515625" style="251" customWidth="1"/>
    <col min="8452" max="8454" width="12.140625" style="251" customWidth="1"/>
    <col min="8455" max="8456" width="0" style="251" hidden="1" customWidth="1"/>
    <col min="8457" max="8457" width="12.7109375" style="251" customWidth="1"/>
    <col min="8458" max="8700" width="9.140625" style="251"/>
    <col min="8701" max="8701" width="31.140625" style="251" customWidth="1"/>
    <col min="8702" max="8703" width="8.7109375" style="251" customWidth="1"/>
    <col min="8704" max="8704" width="0.28515625" style="251" customWidth="1"/>
    <col min="8705" max="8705" width="11.7109375" style="251" customWidth="1"/>
    <col min="8706" max="8706" width="13.5703125" style="251" customWidth="1"/>
    <col min="8707" max="8707" width="9.28515625" style="251" customWidth="1"/>
    <col min="8708" max="8710" width="12.140625" style="251" customWidth="1"/>
    <col min="8711" max="8712" width="0" style="251" hidden="1" customWidth="1"/>
    <col min="8713" max="8713" width="12.7109375" style="251" customWidth="1"/>
    <col min="8714" max="8956" width="9.140625" style="251"/>
    <col min="8957" max="8957" width="31.140625" style="251" customWidth="1"/>
    <col min="8958" max="8959" width="8.7109375" style="251" customWidth="1"/>
    <col min="8960" max="8960" width="0.28515625" style="251" customWidth="1"/>
    <col min="8961" max="8961" width="11.7109375" style="251" customWidth="1"/>
    <col min="8962" max="8962" width="13.5703125" style="251" customWidth="1"/>
    <col min="8963" max="8963" width="9.28515625" style="251" customWidth="1"/>
    <col min="8964" max="8966" width="12.140625" style="251" customWidth="1"/>
    <col min="8967" max="8968" width="0" style="251" hidden="1" customWidth="1"/>
    <col min="8969" max="8969" width="12.7109375" style="251" customWidth="1"/>
    <col min="8970" max="9212" width="9.140625" style="251"/>
    <col min="9213" max="9213" width="31.140625" style="251" customWidth="1"/>
    <col min="9214" max="9215" width="8.7109375" style="251" customWidth="1"/>
    <col min="9216" max="9216" width="0.28515625" style="251" customWidth="1"/>
    <col min="9217" max="9217" width="11.7109375" style="251" customWidth="1"/>
    <col min="9218" max="9218" width="13.5703125" style="251" customWidth="1"/>
    <col min="9219" max="9219" width="9.28515625" style="251" customWidth="1"/>
    <col min="9220" max="9222" width="12.140625" style="251" customWidth="1"/>
    <col min="9223" max="9224" width="0" style="251" hidden="1" customWidth="1"/>
    <col min="9225" max="9225" width="12.7109375" style="251" customWidth="1"/>
    <col min="9226" max="9468" width="9.140625" style="251"/>
    <col min="9469" max="9469" width="31.140625" style="251" customWidth="1"/>
    <col min="9470" max="9471" width="8.7109375" style="251" customWidth="1"/>
    <col min="9472" max="9472" width="0.28515625" style="251" customWidth="1"/>
    <col min="9473" max="9473" width="11.7109375" style="251" customWidth="1"/>
    <col min="9474" max="9474" width="13.5703125" style="251" customWidth="1"/>
    <col min="9475" max="9475" width="9.28515625" style="251" customWidth="1"/>
    <col min="9476" max="9478" width="12.140625" style="251" customWidth="1"/>
    <col min="9479" max="9480" width="0" style="251" hidden="1" customWidth="1"/>
    <col min="9481" max="9481" width="12.7109375" style="251" customWidth="1"/>
    <col min="9482" max="9724" width="9.140625" style="251"/>
    <col min="9725" max="9725" width="31.140625" style="251" customWidth="1"/>
    <col min="9726" max="9727" width="8.7109375" style="251" customWidth="1"/>
    <col min="9728" max="9728" width="0.28515625" style="251" customWidth="1"/>
    <col min="9729" max="9729" width="11.7109375" style="251" customWidth="1"/>
    <col min="9730" max="9730" width="13.5703125" style="251" customWidth="1"/>
    <col min="9731" max="9731" width="9.28515625" style="251" customWidth="1"/>
    <col min="9732" max="9734" width="12.140625" style="251" customWidth="1"/>
    <col min="9735" max="9736" width="0" style="251" hidden="1" customWidth="1"/>
    <col min="9737" max="9737" width="12.7109375" style="251" customWidth="1"/>
    <col min="9738" max="9980" width="9.140625" style="251"/>
    <col min="9981" max="9981" width="31.140625" style="251" customWidth="1"/>
    <col min="9982" max="9983" width="8.7109375" style="251" customWidth="1"/>
    <col min="9984" max="9984" width="0.28515625" style="251" customWidth="1"/>
    <col min="9985" max="9985" width="11.7109375" style="251" customWidth="1"/>
    <col min="9986" max="9986" width="13.5703125" style="251" customWidth="1"/>
    <col min="9987" max="9987" width="9.28515625" style="251" customWidth="1"/>
    <col min="9988" max="9990" width="12.140625" style="251" customWidth="1"/>
    <col min="9991" max="9992" width="0" style="251" hidden="1" customWidth="1"/>
    <col min="9993" max="9993" width="12.7109375" style="251" customWidth="1"/>
    <col min="9994" max="10236" width="9.140625" style="251"/>
    <col min="10237" max="10237" width="31.140625" style="251" customWidth="1"/>
    <col min="10238" max="10239" width="8.7109375" style="251" customWidth="1"/>
    <col min="10240" max="10240" width="0.28515625" style="251" customWidth="1"/>
    <col min="10241" max="10241" width="11.7109375" style="251" customWidth="1"/>
    <col min="10242" max="10242" width="13.5703125" style="251" customWidth="1"/>
    <col min="10243" max="10243" width="9.28515625" style="251" customWidth="1"/>
    <col min="10244" max="10246" width="12.140625" style="251" customWidth="1"/>
    <col min="10247" max="10248" width="0" style="251" hidden="1" customWidth="1"/>
    <col min="10249" max="10249" width="12.7109375" style="251" customWidth="1"/>
    <col min="10250" max="10492" width="9.140625" style="251"/>
    <col min="10493" max="10493" width="31.140625" style="251" customWidth="1"/>
    <col min="10494" max="10495" width="8.7109375" style="251" customWidth="1"/>
    <col min="10496" max="10496" width="0.28515625" style="251" customWidth="1"/>
    <col min="10497" max="10497" width="11.7109375" style="251" customWidth="1"/>
    <col min="10498" max="10498" width="13.5703125" style="251" customWidth="1"/>
    <col min="10499" max="10499" width="9.28515625" style="251" customWidth="1"/>
    <col min="10500" max="10502" width="12.140625" style="251" customWidth="1"/>
    <col min="10503" max="10504" width="0" style="251" hidden="1" customWidth="1"/>
    <col min="10505" max="10505" width="12.7109375" style="251" customWidth="1"/>
    <col min="10506" max="10748" width="9.140625" style="251"/>
    <col min="10749" max="10749" width="31.140625" style="251" customWidth="1"/>
    <col min="10750" max="10751" width="8.7109375" style="251" customWidth="1"/>
    <col min="10752" max="10752" width="0.28515625" style="251" customWidth="1"/>
    <col min="10753" max="10753" width="11.7109375" style="251" customWidth="1"/>
    <col min="10754" max="10754" width="13.5703125" style="251" customWidth="1"/>
    <col min="10755" max="10755" width="9.28515625" style="251" customWidth="1"/>
    <col min="10756" max="10758" width="12.140625" style="251" customWidth="1"/>
    <col min="10759" max="10760" width="0" style="251" hidden="1" customWidth="1"/>
    <col min="10761" max="10761" width="12.7109375" style="251" customWidth="1"/>
    <col min="10762" max="11004" width="9.140625" style="251"/>
    <col min="11005" max="11005" width="31.140625" style="251" customWidth="1"/>
    <col min="11006" max="11007" width="8.7109375" style="251" customWidth="1"/>
    <col min="11008" max="11008" width="0.28515625" style="251" customWidth="1"/>
    <col min="11009" max="11009" width="11.7109375" style="251" customWidth="1"/>
    <col min="11010" max="11010" width="13.5703125" style="251" customWidth="1"/>
    <col min="11011" max="11011" width="9.28515625" style="251" customWidth="1"/>
    <col min="11012" max="11014" width="12.140625" style="251" customWidth="1"/>
    <col min="11015" max="11016" width="0" style="251" hidden="1" customWidth="1"/>
    <col min="11017" max="11017" width="12.7109375" style="251" customWidth="1"/>
    <col min="11018" max="11260" width="9.140625" style="251"/>
    <col min="11261" max="11261" width="31.140625" style="251" customWidth="1"/>
    <col min="11262" max="11263" width="8.7109375" style="251" customWidth="1"/>
    <col min="11264" max="11264" width="0.28515625" style="251" customWidth="1"/>
    <col min="11265" max="11265" width="11.7109375" style="251" customWidth="1"/>
    <col min="11266" max="11266" width="13.5703125" style="251" customWidth="1"/>
    <col min="11267" max="11267" width="9.28515625" style="251" customWidth="1"/>
    <col min="11268" max="11270" width="12.140625" style="251" customWidth="1"/>
    <col min="11271" max="11272" width="0" style="251" hidden="1" customWidth="1"/>
    <col min="11273" max="11273" width="12.7109375" style="251" customWidth="1"/>
    <col min="11274" max="11516" width="9.140625" style="251"/>
    <col min="11517" max="11517" width="31.140625" style="251" customWidth="1"/>
    <col min="11518" max="11519" width="8.7109375" style="251" customWidth="1"/>
    <col min="11520" max="11520" width="0.28515625" style="251" customWidth="1"/>
    <col min="11521" max="11521" width="11.7109375" style="251" customWidth="1"/>
    <col min="11522" max="11522" width="13.5703125" style="251" customWidth="1"/>
    <col min="11523" max="11523" width="9.28515625" style="251" customWidth="1"/>
    <col min="11524" max="11526" width="12.140625" style="251" customWidth="1"/>
    <col min="11527" max="11528" width="0" style="251" hidden="1" customWidth="1"/>
    <col min="11529" max="11529" width="12.7109375" style="251" customWidth="1"/>
    <col min="11530" max="11772" width="9.140625" style="251"/>
    <col min="11773" max="11773" width="31.140625" style="251" customWidth="1"/>
    <col min="11774" max="11775" width="8.7109375" style="251" customWidth="1"/>
    <col min="11776" max="11776" width="0.28515625" style="251" customWidth="1"/>
    <col min="11777" max="11777" width="11.7109375" style="251" customWidth="1"/>
    <col min="11778" max="11778" width="13.5703125" style="251" customWidth="1"/>
    <col min="11779" max="11779" width="9.28515625" style="251" customWidth="1"/>
    <col min="11780" max="11782" width="12.140625" style="251" customWidth="1"/>
    <col min="11783" max="11784" width="0" style="251" hidden="1" customWidth="1"/>
    <col min="11785" max="11785" width="12.7109375" style="251" customWidth="1"/>
    <col min="11786" max="12028" width="9.140625" style="251"/>
    <col min="12029" max="12029" width="31.140625" style="251" customWidth="1"/>
    <col min="12030" max="12031" width="8.7109375" style="251" customWidth="1"/>
    <col min="12032" max="12032" width="0.28515625" style="251" customWidth="1"/>
    <col min="12033" max="12033" width="11.7109375" style="251" customWidth="1"/>
    <col min="12034" max="12034" width="13.5703125" style="251" customWidth="1"/>
    <col min="12035" max="12035" width="9.28515625" style="251" customWidth="1"/>
    <col min="12036" max="12038" width="12.140625" style="251" customWidth="1"/>
    <col min="12039" max="12040" width="0" style="251" hidden="1" customWidth="1"/>
    <col min="12041" max="12041" width="12.7109375" style="251" customWidth="1"/>
    <col min="12042" max="12284" width="9.140625" style="251"/>
    <col min="12285" max="12285" width="31.140625" style="251" customWidth="1"/>
    <col min="12286" max="12287" width="8.7109375" style="251" customWidth="1"/>
    <col min="12288" max="12288" width="0.28515625" style="251" customWidth="1"/>
    <col min="12289" max="12289" width="11.7109375" style="251" customWidth="1"/>
    <col min="12290" max="12290" width="13.5703125" style="251" customWidth="1"/>
    <col min="12291" max="12291" width="9.28515625" style="251" customWidth="1"/>
    <col min="12292" max="12294" width="12.140625" style="251" customWidth="1"/>
    <col min="12295" max="12296" width="0" style="251" hidden="1" customWidth="1"/>
    <col min="12297" max="12297" width="12.7109375" style="251" customWidth="1"/>
    <col min="12298" max="12540" width="9.140625" style="251"/>
    <col min="12541" max="12541" width="31.140625" style="251" customWidth="1"/>
    <col min="12542" max="12543" width="8.7109375" style="251" customWidth="1"/>
    <col min="12544" max="12544" width="0.28515625" style="251" customWidth="1"/>
    <col min="12545" max="12545" width="11.7109375" style="251" customWidth="1"/>
    <col min="12546" max="12546" width="13.5703125" style="251" customWidth="1"/>
    <col min="12547" max="12547" width="9.28515625" style="251" customWidth="1"/>
    <col min="12548" max="12550" width="12.140625" style="251" customWidth="1"/>
    <col min="12551" max="12552" width="0" style="251" hidden="1" customWidth="1"/>
    <col min="12553" max="12553" width="12.7109375" style="251" customWidth="1"/>
    <col min="12554" max="12796" width="9.140625" style="251"/>
    <col min="12797" max="12797" width="31.140625" style="251" customWidth="1"/>
    <col min="12798" max="12799" width="8.7109375" style="251" customWidth="1"/>
    <col min="12800" max="12800" width="0.28515625" style="251" customWidth="1"/>
    <col min="12801" max="12801" width="11.7109375" style="251" customWidth="1"/>
    <col min="12802" max="12802" width="13.5703125" style="251" customWidth="1"/>
    <col min="12803" max="12803" width="9.28515625" style="251" customWidth="1"/>
    <col min="12804" max="12806" width="12.140625" style="251" customWidth="1"/>
    <col min="12807" max="12808" width="0" style="251" hidden="1" customWidth="1"/>
    <col min="12809" max="12809" width="12.7109375" style="251" customWidth="1"/>
    <col min="12810" max="13052" width="9.140625" style="251"/>
    <col min="13053" max="13053" width="31.140625" style="251" customWidth="1"/>
    <col min="13054" max="13055" width="8.7109375" style="251" customWidth="1"/>
    <col min="13056" max="13056" width="0.28515625" style="251" customWidth="1"/>
    <col min="13057" max="13057" width="11.7109375" style="251" customWidth="1"/>
    <col min="13058" max="13058" width="13.5703125" style="251" customWidth="1"/>
    <col min="13059" max="13059" width="9.28515625" style="251" customWidth="1"/>
    <col min="13060" max="13062" width="12.140625" style="251" customWidth="1"/>
    <col min="13063" max="13064" width="0" style="251" hidden="1" customWidth="1"/>
    <col min="13065" max="13065" width="12.7109375" style="251" customWidth="1"/>
    <col min="13066" max="13308" width="9.140625" style="251"/>
    <col min="13309" max="13309" width="31.140625" style="251" customWidth="1"/>
    <col min="13310" max="13311" width="8.7109375" style="251" customWidth="1"/>
    <col min="13312" max="13312" width="0.28515625" style="251" customWidth="1"/>
    <col min="13313" max="13313" width="11.7109375" style="251" customWidth="1"/>
    <col min="13314" max="13314" width="13.5703125" style="251" customWidth="1"/>
    <col min="13315" max="13315" width="9.28515625" style="251" customWidth="1"/>
    <col min="13316" max="13318" width="12.140625" style="251" customWidth="1"/>
    <col min="13319" max="13320" width="0" style="251" hidden="1" customWidth="1"/>
    <col min="13321" max="13321" width="12.7109375" style="251" customWidth="1"/>
    <col min="13322" max="13564" width="9.140625" style="251"/>
    <col min="13565" max="13565" width="31.140625" style="251" customWidth="1"/>
    <col min="13566" max="13567" width="8.7109375" style="251" customWidth="1"/>
    <col min="13568" max="13568" width="0.28515625" style="251" customWidth="1"/>
    <col min="13569" max="13569" width="11.7109375" style="251" customWidth="1"/>
    <col min="13570" max="13570" width="13.5703125" style="251" customWidth="1"/>
    <col min="13571" max="13571" width="9.28515625" style="251" customWidth="1"/>
    <col min="13572" max="13574" width="12.140625" style="251" customWidth="1"/>
    <col min="13575" max="13576" width="0" style="251" hidden="1" customWidth="1"/>
    <col min="13577" max="13577" width="12.7109375" style="251" customWidth="1"/>
    <col min="13578" max="13820" width="9.140625" style="251"/>
    <col min="13821" max="13821" width="31.140625" style="251" customWidth="1"/>
    <col min="13822" max="13823" width="8.7109375" style="251" customWidth="1"/>
    <col min="13824" max="13824" width="0.28515625" style="251" customWidth="1"/>
    <col min="13825" max="13825" width="11.7109375" style="251" customWidth="1"/>
    <col min="13826" max="13826" width="13.5703125" style="251" customWidth="1"/>
    <col min="13827" max="13827" width="9.28515625" style="251" customWidth="1"/>
    <col min="13828" max="13830" width="12.140625" style="251" customWidth="1"/>
    <col min="13831" max="13832" width="0" style="251" hidden="1" customWidth="1"/>
    <col min="13833" max="13833" width="12.7109375" style="251" customWidth="1"/>
    <col min="13834" max="14076" width="9.140625" style="251"/>
    <col min="14077" max="14077" width="31.140625" style="251" customWidth="1"/>
    <col min="14078" max="14079" width="8.7109375" style="251" customWidth="1"/>
    <col min="14080" max="14080" width="0.28515625" style="251" customWidth="1"/>
    <col min="14081" max="14081" width="11.7109375" style="251" customWidth="1"/>
    <col min="14082" max="14082" width="13.5703125" style="251" customWidth="1"/>
    <col min="14083" max="14083" width="9.28515625" style="251" customWidth="1"/>
    <col min="14084" max="14086" width="12.140625" style="251" customWidth="1"/>
    <col min="14087" max="14088" width="0" style="251" hidden="1" customWidth="1"/>
    <col min="14089" max="14089" width="12.7109375" style="251" customWidth="1"/>
    <col min="14090" max="14332" width="9.140625" style="251"/>
    <col min="14333" max="14333" width="31.140625" style="251" customWidth="1"/>
    <col min="14334" max="14335" width="8.7109375" style="251" customWidth="1"/>
    <col min="14336" max="14336" width="0.28515625" style="251" customWidth="1"/>
    <col min="14337" max="14337" width="11.7109375" style="251" customWidth="1"/>
    <col min="14338" max="14338" width="13.5703125" style="251" customWidth="1"/>
    <col min="14339" max="14339" width="9.28515625" style="251" customWidth="1"/>
    <col min="14340" max="14342" width="12.140625" style="251" customWidth="1"/>
    <col min="14343" max="14344" width="0" style="251" hidden="1" customWidth="1"/>
    <col min="14345" max="14345" width="12.7109375" style="251" customWidth="1"/>
    <col min="14346" max="14588" width="9.140625" style="251"/>
    <col min="14589" max="14589" width="31.140625" style="251" customWidth="1"/>
    <col min="14590" max="14591" width="8.7109375" style="251" customWidth="1"/>
    <col min="14592" max="14592" width="0.28515625" style="251" customWidth="1"/>
    <col min="14593" max="14593" width="11.7109375" style="251" customWidth="1"/>
    <col min="14594" max="14594" width="13.5703125" style="251" customWidth="1"/>
    <col min="14595" max="14595" width="9.28515625" style="251" customWidth="1"/>
    <col min="14596" max="14598" width="12.140625" style="251" customWidth="1"/>
    <col min="14599" max="14600" width="0" style="251" hidden="1" customWidth="1"/>
    <col min="14601" max="14601" width="12.7109375" style="251" customWidth="1"/>
    <col min="14602" max="14844" width="9.140625" style="251"/>
    <col min="14845" max="14845" width="31.140625" style="251" customWidth="1"/>
    <col min="14846" max="14847" width="8.7109375" style="251" customWidth="1"/>
    <col min="14848" max="14848" width="0.28515625" style="251" customWidth="1"/>
    <col min="14849" max="14849" width="11.7109375" style="251" customWidth="1"/>
    <col min="14850" max="14850" width="13.5703125" style="251" customWidth="1"/>
    <col min="14851" max="14851" width="9.28515625" style="251" customWidth="1"/>
    <col min="14852" max="14854" width="12.140625" style="251" customWidth="1"/>
    <col min="14855" max="14856" width="0" style="251" hidden="1" customWidth="1"/>
    <col min="14857" max="14857" width="12.7109375" style="251" customWidth="1"/>
    <col min="14858" max="15100" width="9.140625" style="251"/>
    <col min="15101" max="15101" width="31.140625" style="251" customWidth="1"/>
    <col min="15102" max="15103" width="8.7109375" style="251" customWidth="1"/>
    <col min="15104" max="15104" width="0.28515625" style="251" customWidth="1"/>
    <col min="15105" max="15105" width="11.7109375" style="251" customWidth="1"/>
    <col min="15106" max="15106" width="13.5703125" style="251" customWidth="1"/>
    <col min="15107" max="15107" width="9.28515625" style="251" customWidth="1"/>
    <col min="15108" max="15110" width="12.140625" style="251" customWidth="1"/>
    <col min="15111" max="15112" width="0" style="251" hidden="1" customWidth="1"/>
    <col min="15113" max="15113" width="12.7109375" style="251" customWidth="1"/>
    <col min="15114" max="15356" width="9.140625" style="251"/>
    <col min="15357" max="15357" width="31.140625" style="251" customWidth="1"/>
    <col min="15358" max="15359" width="8.7109375" style="251" customWidth="1"/>
    <col min="15360" max="15360" width="0.28515625" style="251" customWidth="1"/>
    <col min="15361" max="15361" width="11.7109375" style="251" customWidth="1"/>
    <col min="15362" max="15362" width="13.5703125" style="251" customWidth="1"/>
    <col min="15363" max="15363" width="9.28515625" style="251" customWidth="1"/>
    <col min="15364" max="15366" width="12.140625" style="251" customWidth="1"/>
    <col min="15367" max="15368" width="0" style="251" hidden="1" customWidth="1"/>
    <col min="15369" max="15369" width="12.7109375" style="251" customWidth="1"/>
    <col min="15370" max="15612" width="9.140625" style="251"/>
    <col min="15613" max="15613" width="31.140625" style="251" customWidth="1"/>
    <col min="15614" max="15615" width="8.7109375" style="251" customWidth="1"/>
    <col min="15616" max="15616" width="0.28515625" style="251" customWidth="1"/>
    <col min="15617" max="15617" width="11.7109375" style="251" customWidth="1"/>
    <col min="15618" max="15618" width="13.5703125" style="251" customWidth="1"/>
    <col min="15619" max="15619" width="9.28515625" style="251" customWidth="1"/>
    <col min="15620" max="15622" width="12.140625" style="251" customWidth="1"/>
    <col min="15623" max="15624" width="0" style="251" hidden="1" customWidth="1"/>
    <col min="15625" max="15625" width="12.7109375" style="251" customWidth="1"/>
    <col min="15626" max="15868" width="9.140625" style="251"/>
    <col min="15869" max="15869" width="31.140625" style="251" customWidth="1"/>
    <col min="15870" max="15871" width="8.7109375" style="251" customWidth="1"/>
    <col min="15872" max="15872" width="0.28515625" style="251" customWidth="1"/>
    <col min="15873" max="15873" width="11.7109375" style="251" customWidth="1"/>
    <col min="15874" max="15874" width="13.5703125" style="251" customWidth="1"/>
    <col min="15875" max="15875" width="9.28515625" style="251" customWidth="1"/>
    <col min="15876" max="15878" width="12.140625" style="251" customWidth="1"/>
    <col min="15879" max="15880" width="0" style="251" hidden="1" customWidth="1"/>
    <col min="15881" max="15881" width="12.7109375" style="251" customWidth="1"/>
    <col min="15882" max="16124" width="9.140625" style="251"/>
    <col min="16125" max="16125" width="31.140625" style="251" customWidth="1"/>
    <col min="16126" max="16127" width="8.7109375" style="251" customWidth="1"/>
    <col min="16128" max="16128" width="0.28515625" style="251" customWidth="1"/>
    <col min="16129" max="16129" width="11.7109375" style="251" customWidth="1"/>
    <col min="16130" max="16130" width="13.5703125" style="251" customWidth="1"/>
    <col min="16131" max="16131" width="9.28515625" style="251" customWidth="1"/>
    <col min="16132" max="16134" width="12.140625" style="251" customWidth="1"/>
    <col min="16135" max="16136" width="0" style="251" hidden="1" customWidth="1"/>
    <col min="16137" max="16137" width="12.7109375" style="251" customWidth="1"/>
    <col min="16138" max="16384" width="9.140625" style="251"/>
  </cols>
  <sheetData>
    <row r="2" spans="1:9" x14ac:dyDescent="0.2">
      <c r="A2" s="831" t="s">
        <v>575</v>
      </c>
      <c r="B2" s="831"/>
      <c r="C2" s="831"/>
      <c r="D2" s="831"/>
      <c r="E2" s="831"/>
      <c r="F2" s="831"/>
      <c r="G2" s="831"/>
      <c r="H2" s="831"/>
    </row>
    <row r="4" spans="1:9" ht="68.25" customHeight="1" x14ac:dyDescent="0.2">
      <c r="A4" s="259" t="s">
        <v>126</v>
      </c>
      <c r="B4" s="252" t="s">
        <v>576</v>
      </c>
      <c r="C4" s="252" t="s">
        <v>577</v>
      </c>
      <c r="D4" s="252" t="s">
        <v>578</v>
      </c>
      <c r="E4" s="252" t="s">
        <v>578</v>
      </c>
      <c r="F4" s="252" t="s">
        <v>579</v>
      </c>
      <c r="G4" s="252" t="s">
        <v>580</v>
      </c>
      <c r="H4" s="252" t="s">
        <v>580</v>
      </c>
      <c r="I4" s="252" t="s">
        <v>580</v>
      </c>
    </row>
    <row r="5" spans="1:9" x14ac:dyDescent="0.2">
      <c r="A5" s="832" t="s">
        <v>581</v>
      </c>
      <c r="B5" s="832"/>
      <c r="C5" s="832"/>
      <c r="D5" s="832"/>
      <c r="E5" s="832"/>
      <c r="F5" s="832"/>
      <c r="G5" s="832"/>
      <c r="H5" s="832"/>
      <c r="I5" s="253"/>
    </row>
    <row r="6" spans="1:9" x14ac:dyDescent="0.2">
      <c r="A6" s="395" t="s">
        <v>786</v>
      </c>
      <c r="B6" s="255">
        <v>12420</v>
      </c>
      <c r="C6" s="256">
        <v>55</v>
      </c>
      <c r="D6" s="254">
        <f t="shared" ref="D6" si="0">B6*C6</f>
        <v>683100</v>
      </c>
      <c r="E6" s="254">
        <v>683100</v>
      </c>
      <c r="F6" s="254">
        <v>683100</v>
      </c>
      <c r="G6" s="254">
        <f t="shared" ref="G6:H6" si="1">F6</f>
        <v>683100</v>
      </c>
      <c r="H6" s="254">
        <f t="shared" si="1"/>
        <v>683100</v>
      </c>
      <c r="I6" s="254">
        <v>683100</v>
      </c>
    </row>
    <row r="8" spans="1:9" x14ac:dyDescent="0.2">
      <c r="A8" s="257"/>
    </row>
    <row r="9" spans="1:9" x14ac:dyDescent="0.2">
      <c r="G9" s="258"/>
    </row>
  </sheetData>
  <mergeCells count="2">
    <mergeCell ref="A2:H2"/>
    <mergeCell ref="A5:H5"/>
  </mergeCells>
  <pageMargins left="0.59055118110236227" right="0.19685039370078741" top="0.74803149606299213" bottom="0.74803149606299213" header="0.31496062992125984" footer="0.31496062992125984"/>
  <pageSetup paperSize="9" scale="9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N20"/>
  <sheetViews>
    <sheetView view="pageBreakPreview" zoomScaleSheetLayoutView="100" workbookViewId="0">
      <pane xSplit="2" ySplit="5" topLeftCell="C6" activePane="bottomRight" state="frozen"/>
      <selection activeCell="A16" sqref="A16:XFD16"/>
      <selection pane="topRight" activeCell="A16" sqref="A16:XFD16"/>
      <selection pane="bottomLeft" activeCell="A16" sqref="A16:XFD16"/>
      <selection pane="bottomRight" activeCell="C16" sqref="A16:XFD16"/>
    </sheetView>
  </sheetViews>
  <sheetFormatPr defaultRowHeight="15" x14ac:dyDescent="0.25"/>
  <cols>
    <col min="1" max="1" width="5.28515625" style="42" customWidth="1"/>
    <col min="2" max="2" width="37.28515625" style="42" customWidth="1"/>
    <col min="3" max="3" width="9.85546875" style="42" customWidth="1"/>
    <col min="4" max="5" width="16" style="42" customWidth="1"/>
    <col min="6" max="6" width="16.5703125" style="42" customWidth="1"/>
    <col min="7" max="7" width="12.140625" style="42" customWidth="1"/>
    <col min="8" max="8" width="11" style="42" customWidth="1"/>
    <col min="9" max="10" width="12.5703125" style="42" customWidth="1"/>
    <col min="11" max="11" width="9.140625" style="42"/>
    <col min="12" max="12" width="12.28515625" style="42" customWidth="1"/>
    <col min="13" max="13" width="14.85546875" style="42" customWidth="1"/>
    <col min="14" max="14" width="12.5703125" style="42" customWidth="1"/>
    <col min="15" max="245" width="9.140625" style="42"/>
    <col min="246" max="246" width="5.28515625" style="42" customWidth="1"/>
    <col min="247" max="247" width="37.28515625" style="42" customWidth="1"/>
    <col min="248" max="251" width="14.42578125" style="42" customWidth="1"/>
    <col min="252" max="252" width="9.85546875" style="42" customWidth="1"/>
    <col min="253" max="254" width="16" style="42" customWidth="1"/>
    <col min="255" max="255" width="16.5703125" style="42" customWidth="1"/>
    <col min="256" max="256" width="12.140625" style="42" customWidth="1"/>
    <col min="257" max="257" width="11" style="42" customWidth="1"/>
    <col min="258" max="259" width="12.5703125" style="42" customWidth="1"/>
    <col min="260" max="260" width="9.140625" style="42"/>
    <col min="261" max="261" width="12.28515625" style="42" customWidth="1"/>
    <col min="262" max="262" width="14.85546875" style="42" customWidth="1"/>
    <col min="263" max="263" width="12.5703125" style="42" customWidth="1"/>
    <col min="264" max="264" width="14.42578125" style="42" customWidth="1"/>
    <col min="265" max="265" width="11" style="42" customWidth="1"/>
    <col min="266" max="266" width="11.140625" style="42" customWidth="1"/>
    <col min="267" max="268" width="11.42578125" style="42" customWidth="1"/>
    <col min="269" max="269" width="11.140625" style="42" customWidth="1"/>
    <col min="270" max="270" width="13" style="42" customWidth="1"/>
    <col min="271" max="501" width="9.140625" style="42"/>
    <col min="502" max="502" width="5.28515625" style="42" customWidth="1"/>
    <col min="503" max="503" width="37.28515625" style="42" customWidth="1"/>
    <col min="504" max="507" width="14.42578125" style="42" customWidth="1"/>
    <col min="508" max="508" width="9.85546875" style="42" customWidth="1"/>
    <col min="509" max="510" width="16" style="42" customWidth="1"/>
    <col min="511" max="511" width="16.5703125" style="42" customWidth="1"/>
    <col min="512" max="512" width="12.140625" style="42" customWidth="1"/>
    <col min="513" max="513" width="11" style="42" customWidth="1"/>
    <col min="514" max="515" width="12.5703125" style="42" customWidth="1"/>
    <col min="516" max="516" width="9.140625" style="42"/>
    <col min="517" max="517" width="12.28515625" style="42" customWidth="1"/>
    <col min="518" max="518" width="14.85546875" style="42" customWidth="1"/>
    <col min="519" max="519" width="12.5703125" style="42" customWidth="1"/>
    <col min="520" max="520" width="14.42578125" style="42" customWidth="1"/>
    <col min="521" max="521" width="11" style="42" customWidth="1"/>
    <col min="522" max="522" width="11.140625" style="42" customWidth="1"/>
    <col min="523" max="524" width="11.42578125" style="42" customWidth="1"/>
    <col min="525" max="525" width="11.140625" style="42" customWidth="1"/>
    <col min="526" max="526" width="13" style="42" customWidth="1"/>
    <col min="527" max="757" width="9.140625" style="42"/>
    <col min="758" max="758" width="5.28515625" style="42" customWidth="1"/>
    <col min="759" max="759" width="37.28515625" style="42" customWidth="1"/>
    <col min="760" max="763" width="14.42578125" style="42" customWidth="1"/>
    <col min="764" max="764" width="9.85546875" style="42" customWidth="1"/>
    <col min="765" max="766" width="16" style="42" customWidth="1"/>
    <col min="767" max="767" width="16.5703125" style="42" customWidth="1"/>
    <col min="768" max="768" width="12.140625" style="42" customWidth="1"/>
    <col min="769" max="769" width="11" style="42" customWidth="1"/>
    <col min="770" max="771" width="12.5703125" style="42" customWidth="1"/>
    <col min="772" max="772" width="9.140625" style="42"/>
    <col min="773" max="773" width="12.28515625" style="42" customWidth="1"/>
    <col min="774" max="774" width="14.85546875" style="42" customWidth="1"/>
    <col min="775" max="775" width="12.5703125" style="42" customWidth="1"/>
    <col min="776" max="776" width="14.42578125" style="42" customWidth="1"/>
    <col min="777" max="777" width="11" style="42" customWidth="1"/>
    <col min="778" max="778" width="11.140625" style="42" customWidth="1"/>
    <col min="779" max="780" width="11.42578125" style="42" customWidth="1"/>
    <col min="781" max="781" width="11.140625" style="42" customWidth="1"/>
    <col min="782" max="782" width="13" style="42" customWidth="1"/>
    <col min="783" max="1013" width="9.140625" style="42"/>
    <col min="1014" max="1014" width="5.28515625" style="42" customWidth="1"/>
    <col min="1015" max="1015" width="37.28515625" style="42" customWidth="1"/>
    <col min="1016" max="1019" width="14.42578125" style="42" customWidth="1"/>
    <col min="1020" max="1020" width="9.85546875" style="42" customWidth="1"/>
    <col min="1021" max="1022" width="16" style="42" customWidth="1"/>
    <col min="1023" max="1023" width="16.5703125" style="42" customWidth="1"/>
    <col min="1024" max="1024" width="12.140625" style="42" customWidth="1"/>
    <col min="1025" max="1025" width="11" style="42" customWidth="1"/>
    <col min="1026" max="1027" width="12.5703125" style="42" customWidth="1"/>
    <col min="1028" max="1028" width="9.140625" style="42"/>
    <col min="1029" max="1029" width="12.28515625" style="42" customWidth="1"/>
    <col min="1030" max="1030" width="14.85546875" style="42" customWidth="1"/>
    <col min="1031" max="1031" width="12.5703125" style="42" customWidth="1"/>
    <col min="1032" max="1032" width="14.42578125" style="42" customWidth="1"/>
    <col min="1033" max="1033" width="11" style="42" customWidth="1"/>
    <col min="1034" max="1034" width="11.140625" style="42" customWidth="1"/>
    <col min="1035" max="1036" width="11.42578125" style="42" customWidth="1"/>
    <col min="1037" max="1037" width="11.140625" style="42" customWidth="1"/>
    <col min="1038" max="1038" width="13" style="42" customWidth="1"/>
    <col min="1039" max="1269" width="9.140625" style="42"/>
    <col min="1270" max="1270" width="5.28515625" style="42" customWidth="1"/>
    <col min="1271" max="1271" width="37.28515625" style="42" customWidth="1"/>
    <col min="1272" max="1275" width="14.42578125" style="42" customWidth="1"/>
    <col min="1276" max="1276" width="9.85546875" style="42" customWidth="1"/>
    <col min="1277" max="1278" width="16" style="42" customWidth="1"/>
    <col min="1279" max="1279" width="16.5703125" style="42" customWidth="1"/>
    <col min="1280" max="1280" width="12.140625" style="42" customWidth="1"/>
    <col min="1281" max="1281" width="11" style="42" customWidth="1"/>
    <col min="1282" max="1283" width="12.5703125" style="42" customWidth="1"/>
    <col min="1284" max="1284" width="9.140625" style="42"/>
    <col min="1285" max="1285" width="12.28515625" style="42" customWidth="1"/>
    <col min="1286" max="1286" width="14.85546875" style="42" customWidth="1"/>
    <col min="1287" max="1287" width="12.5703125" style="42" customWidth="1"/>
    <col min="1288" max="1288" width="14.42578125" style="42" customWidth="1"/>
    <col min="1289" max="1289" width="11" style="42" customWidth="1"/>
    <col min="1290" max="1290" width="11.140625" style="42" customWidth="1"/>
    <col min="1291" max="1292" width="11.42578125" style="42" customWidth="1"/>
    <col min="1293" max="1293" width="11.140625" style="42" customWidth="1"/>
    <col min="1294" max="1294" width="13" style="42" customWidth="1"/>
    <col min="1295" max="1525" width="9.140625" style="42"/>
    <col min="1526" max="1526" width="5.28515625" style="42" customWidth="1"/>
    <col min="1527" max="1527" width="37.28515625" style="42" customWidth="1"/>
    <col min="1528" max="1531" width="14.42578125" style="42" customWidth="1"/>
    <col min="1532" max="1532" width="9.85546875" style="42" customWidth="1"/>
    <col min="1533" max="1534" width="16" style="42" customWidth="1"/>
    <col min="1535" max="1535" width="16.5703125" style="42" customWidth="1"/>
    <col min="1536" max="1536" width="12.140625" style="42" customWidth="1"/>
    <col min="1537" max="1537" width="11" style="42" customWidth="1"/>
    <col min="1538" max="1539" width="12.5703125" style="42" customWidth="1"/>
    <col min="1540" max="1540" width="9.140625" style="42"/>
    <col min="1541" max="1541" width="12.28515625" style="42" customWidth="1"/>
    <col min="1542" max="1542" width="14.85546875" style="42" customWidth="1"/>
    <col min="1543" max="1543" width="12.5703125" style="42" customWidth="1"/>
    <col min="1544" max="1544" width="14.42578125" style="42" customWidth="1"/>
    <col min="1545" max="1545" width="11" style="42" customWidth="1"/>
    <col min="1546" max="1546" width="11.140625" style="42" customWidth="1"/>
    <col min="1547" max="1548" width="11.42578125" style="42" customWidth="1"/>
    <col min="1549" max="1549" width="11.140625" style="42" customWidth="1"/>
    <col min="1550" max="1550" width="13" style="42" customWidth="1"/>
    <col min="1551" max="1781" width="9.140625" style="42"/>
    <col min="1782" max="1782" width="5.28515625" style="42" customWidth="1"/>
    <col min="1783" max="1783" width="37.28515625" style="42" customWidth="1"/>
    <col min="1784" max="1787" width="14.42578125" style="42" customWidth="1"/>
    <col min="1788" max="1788" width="9.85546875" style="42" customWidth="1"/>
    <col min="1789" max="1790" width="16" style="42" customWidth="1"/>
    <col min="1791" max="1791" width="16.5703125" style="42" customWidth="1"/>
    <col min="1792" max="1792" width="12.140625" style="42" customWidth="1"/>
    <col min="1793" max="1793" width="11" style="42" customWidth="1"/>
    <col min="1794" max="1795" width="12.5703125" style="42" customWidth="1"/>
    <col min="1796" max="1796" width="9.140625" style="42"/>
    <col min="1797" max="1797" width="12.28515625" style="42" customWidth="1"/>
    <col min="1798" max="1798" width="14.85546875" style="42" customWidth="1"/>
    <col min="1799" max="1799" width="12.5703125" style="42" customWidth="1"/>
    <col min="1800" max="1800" width="14.42578125" style="42" customWidth="1"/>
    <col min="1801" max="1801" width="11" style="42" customWidth="1"/>
    <col min="1802" max="1802" width="11.140625" style="42" customWidth="1"/>
    <col min="1803" max="1804" width="11.42578125" style="42" customWidth="1"/>
    <col min="1805" max="1805" width="11.140625" style="42" customWidth="1"/>
    <col min="1806" max="1806" width="13" style="42" customWidth="1"/>
    <col min="1807" max="2037" width="9.140625" style="42"/>
    <col min="2038" max="2038" width="5.28515625" style="42" customWidth="1"/>
    <col min="2039" max="2039" width="37.28515625" style="42" customWidth="1"/>
    <col min="2040" max="2043" width="14.42578125" style="42" customWidth="1"/>
    <col min="2044" max="2044" width="9.85546875" style="42" customWidth="1"/>
    <col min="2045" max="2046" width="16" style="42" customWidth="1"/>
    <col min="2047" max="2047" width="16.5703125" style="42" customWidth="1"/>
    <col min="2048" max="2048" width="12.140625" style="42" customWidth="1"/>
    <col min="2049" max="2049" width="11" style="42" customWidth="1"/>
    <col min="2050" max="2051" width="12.5703125" style="42" customWidth="1"/>
    <col min="2052" max="2052" width="9.140625" style="42"/>
    <col min="2053" max="2053" width="12.28515625" style="42" customWidth="1"/>
    <col min="2054" max="2054" width="14.85546875" style="42" customWidth="1"/>
    <col min="2055" max="2055" width="12.5703125" style="42" customWidth="1"/>
    <col min="2056" max="2056" width="14.42578125" style="42" customWidth="1"/>
    <col min="2057" max="2057" width="11" style="42" customWidth="1"/>
    <col min="2058" max="2058" width="11.140625" style="42" customWidth="1"/>
    <col min="2059" max="2060" width="11.42578125" style="42" customWidth="1"/>
    <col min="2061" max="2061" width="11.140625" style="42" customWidth="1"/>
    <col min="2062" max="2062" width="13" style="42" customWidth="1"/>
    <col min="2063" max="2293" width="9.140625" style="42"/>
    <col min="2294" max="2294" width="5.28515625" style="42" customWidth="1"/>
    <col min="2295" max="2295" width="37.28515625" style="42" customWidth="1"/>
    <col min="2296" max="2299" width="14.42578125" style="42" customWidth="1"/>
    <col min="2300" max="2300" width="9.85546875" style="42" customWidth="1"/>
    <col min="2301" max="2302" width="16" style="42" customWidth="1"/>
    <col min="2303" max="2303" width="16.5703125" style="42" customWidth="1"/>
    <col min="2304" max="2304" width="12.140625" style="42" customWidth="1"/>
    <col min="2305" max="2305" width="11" style="42" customWidth="1"/>
    <col min="2306" max="2307" width="12.5703125" style="42" customWidth="1"/>
    <col min="2308" max="2308" width="9.140625" style="42"/>
    <col min="2309" max="2309" width="12.28515625" style="42" customWidth="1"/>
    <col min="2310" max="2310" width="14.85546875" style="42" customWidth="1"/>
    <col min="2311" max="2311" width="12.5703125" style="42" customWidth="1"/>
    <col min="2312" max="2312" width="14.42578125" style="42" customWidth="1"/>
    <col min="2313" max="2313" width="11" style="42" customWidth="1"/>
    <col min="2314" max="2314" width="11.140625" style="42" customWidth="1"/>
    <col min="2315" max="2316" width="11.42578125" style="42" customWidth="1"/>
    <col min="2317" max="2317" width="11.140625" style="42" customWidth="1"/>
    <col min="2318" max="2318" width="13" style="42" customWidth="1"/>
    <col min="2319" max="2549" width="9.140625" style="42"/>
    <col min="2550" max="2550" width="5.28515625" style="42" customWidth="1"/>
    <col min="2551" max="2551" width="37.28515625" style="42" customWidth="1"/>
    <col min="2552" max="2555" width="14.42578125" style="42" customWidth="1"/>
    <col min="2556" max="2556" width="9.85546875" style="42" customWidth="1"/>
    <col min="2557" max="2558" width="16" style="42" customWidth="1"/>
    <col min="2559" max="2559" width="16.5703125" style="42" customWidth="1"/>
    <col min="2560" max="2560" width="12.140625" style="42" customWidth="1"/>
    <col min="2561" max="2561" width="11" style="42" customWidth="1"/>
    <col min="2562" max="2563" width="12.5703125" style="42" customWidth="1"/>
    <col min="2564" max="2564" width="9.140625" style="42"/>
    <col min="2565" max="2565" width="12.28515625" style="42" customWidth="1"/>
    <col min="2566" max="2566" width="14.85546875" style="42" customWidth="1"/>
    <col min="2567" max="2567" width="12.5703125" style="42" customWidth="1"/>
    <col min="2568" max="2568" width="14.42578125" style="42" customWidth="1"/>
    <col min="2569" max="2569" width="11" style="42" customWidth="1"/>
    <col min="2570" max="2570" width="11.140625" style="42" customWidth="1"/>
    <col min="2571" max="2572" width="11.42578125" style="42" customWidth="1"/>
    <col min="2573" max="2573" width="11.140625" style="42" customWidth="1"/>
    <col min="2574" max="2574" width="13" style="42" customWidth="1"/>
    <col min="2575" max="2805" width="9.140625" style="42"/>
    <col min="2806" max="2806" width="5.28515625" style="42" customWidth="1"/>
    <col min="2807" max="2807" width="37.28515625" style="42" customWidth="1"/>
    <col min="2808" max="2811" width="14.42578125" style="42" customWidth="1"/>
    <col min="2812" max="2812" width="9.85546875" style="42" customWidth="1"/>
    <col min="2813" max="2814" width="16" style="42" customWidth="1"/>
    <col min="2815" max="2815" width="16.5703125" style="42" customWidth="1"/>
    <col min="2816" max="2816" width="12.140625" style="42" customWidth="1"/>
    <col min="2817" max="2817" width="11" style="42" customWidth="1"/>
    <col min="2818" max="2819" width="12.5703125" style="42" customWidth="1"/>
    <col min="2820" max="2820" width="9.140625" style="42"/>
    <col min="2821" max="2821" width="12.28515625" style="42" customWidth="1"/>
    <col min="2822" max="2822" width="14.85546875" style="42" customWidth="1"/>
    <col min="2823" max="2823" width="12.5703125" style="42" customWidth="1"/>
    <col min="2824" max="2824" width="14.42578125" style="42" customWidth="1"/>
    <col min="2825" max="2825" width="11" style="42" customWidth="1"/>
    <col min="2826" max="2826" width="11.140625" style="42" customWidth="1"/>
    <col min="2827" max="2828" width="11.42578125" style="42" customWidth="1"/>
    <col min="2829" max="2829" width="11.140625" style="42" customWidth="1"/>
    <col min="2830" max="2830" width="13" style="42" customWidth="1"/>
    <col min="2831" max="3061" width="9.140625" style="42"/>
    <col min="3062" max="3062" width="5.28515625" style="42" customWidth="1"/>
    <col min="3063" max="3063" width="37.28515625" style="42" customWidth="1"/>
    <col min="3064" max="3067" width="14.42578125" style="42" customWidth="1"/>
    <col min="3068" max="3068" width="9.85546875" style="42" customWidth="1"/>
    <col min="3069" max="3070" width="16" style="42" customWidth="1"/>
    <col min="3071" max="3071" width="16.5703125" style="42" customWidth="1"/>
    <col min="3072" max="3072" width="12.140625" style="42" customWidth="1"/>
    <col min="3073" max="3073" width="11" style="42" customWidth="1"/>
    <col min="3074" max="3075" width="12.5703125" style="42" customWidth="1"/>
    <col min="3076" max="3076" width="9.140625" style="42"/>
    <col min="3077" max="3077" width="12.28515625" style="42" customWidth="1"/>
    <col min="3078" max="3078" width="14.85546875" style="42" customWidth="1"/>
    <col min="3079" max="3079" width="12.5703125" style="42" customWidth="1"/>
    <col min="3080" max="3080" width="14.42578125" style="42" customWidth="1"/>
    <col min="3081" max="3081" width="11" style="42" customWidth="1"/>
    <col min="3082" max="3082" width="11.140625" style="42" customWidth="1"/>
    <col min="3083" max="3084" width="11.42578125" style="42" customWidth="1"/>
    <col min="3085" max="3085" width="11.140625" style="42" customWidth="1"/>
    <col min="3086" max="3086" width="13" style="42" customWidth="1"/>
    <col min="3087" max="3317" width="9.140625" style="42"/>
    <col min="3318" max="3318" width="5.28515625" style="42" customWidth="1"/>
    <col min="3319" max="3319" width="37.28515625" style="42" customWidth="1"/>
    <col min="3320" max="3323" width="14.42578125" style="42" customWidth="1"/>
    <col min="3324" max="3324" width="9.85546875" style="42" customWidth="1"/>
    <col min="3325" max="3326" width="16" style="42" customWidth="1"/>
    <col min="3327" max="3327" width="16.5703125" style="42" customWidth="1"/>
    <col min="3328" max="3328" width="12.140625" style="42" customWidth="1"/>
    <col min="3329" max="3329" width="11" style="42" customWidth="1"/>
    <col min="3330" max="3331" width="12.5703125" style="42" customWidth="1"/>
    <col min="3332" max="3332" width="9.140625" style="42"/>
    <col min="3333" max="3333" width="12.28515625" style="42" customWidth="1"/>
    <col min="3334" max="3334" width="14.85546875" style="42" customWidth="1"/>
    <col min="3335" max="3335" width="12.5703125" style="42" customWidth="1"/>
    <col min="3336" max="3336" width="14.42578125" style="42" customWidth="1"/>
    <col min="3337" max="3337" width="11" style="42" customWidth="1"/>
    <col min="3338" max="3338" width="11.140625" style="42" customWidth="1"/>
    <col min="3339" max="3340" width="11.42578125" style="42" customWidth="1"/>
    <col min="3341" max="3341" width="11.140625" style="42" customWidth="1"/>
    <col min="3342" max="3342" width="13" style="42" customWidth="1"/>
    <col min="3343" max="3573" width="9.140625" style="42"/>
    <col min="3574" max="3574" width="5.28515625" style="42" customWidth="1"/>
    <col min="3575" max="3575" width="37.28515625" style="42" customWidth="1"/>
    <col min="3576" max="3579" width="14.42578125" style="42" customWidth="1"/>
    <col min="3580" max="3580" width="9.85546875" style="42" customWidth="1"/>
    <col min="3581" max="3582" width="16" style="42" customWidth="1"/>
    <col min="3583" max="3583" width="16.5703125" style="42" customWidth="1"/>
    <col min="3584" max="3584" width="12.140625" style="42" customWidth="1"/>
    <col min="3585" max="3585" width="11" style="42" customWidth="1"/>
    <col min="3586" max="3587" width="12.5703125" style="42" customWidth="1"/>
    <col min="3588" max="3588" width="9.140625" style="42"/>
    <col min="3589" max="3589" width="12.28515625" style="42" customWidth="1"/>
    <col min="3590" max="3590" width="14.85546875" style="42" customWidth="1"/>
    <col min="3591" max="3591" width="12.5703125" style="42" customWidth="1"/>
    <col min="3592" max="3592" width="14.42578125" style="42" customWidth="1"/>
    <col min="3593" max="3593" width="11" style="42" customWidth="1"/>
    <col min="3594" max="3594" width="11.140625" style="42" customWidth="1"/>
    <col min="3595" max="3596" width="11.42578125" style="42" customWidth="1"/>
    <col min="3597" max="3597" width="11.140625" style="42" customWidth="1"/>
    <col min="3598" max="3598" width="13" style="42" customWidth="1"/>
    <col min="3599" max="3829" width="9.140625" style="42"/>
    <col min="3830" max="3830" width="5.28515625" style="42" customWidth="1"/>
    <col min="3831" max="3831" width="37.28515625" style="42" customWidth="1"/>
    <col min="3832" max="3835" width="14.42578125" style="42" customWidth="1"/>
    <col min="3836" max="3836" width="9.85546875" style="42" customWidth="1"/>
    <col min="3837" max="3838" width="16" style="42" customWidth="1"/>
    <col min="3839" max="3839" width="16.5703125" style="42" customWidth="1"/>
    <col min="3840" max="3840" width="12.140625" style="42" customWidth="1"/>
    <col min="3841" max="3841" width="11" style="42" customWidth="1"/>
    <col min="3842" max="3843" width="12.5703125" style="42" customWidth="1"/>
    <col min="3844" max="3844" width="9.140625" style="42"/>
    <col min="3845" max="3845" width="12.28515625" style="42" customWidth="1"/>
    <col min="3846" max="3846" width="14.85546875" style="42" customWidth="1"/>
    <col min="3847" max="3847" width="12.5703125" style="42" customWidth="1"/>
    <col min="3848" max="3848" width="14.42578125" style="42" customWidth="1"/>
    <col min="3849" max="3849" width="11" style="42" customWidth="1"/>
    <col min="3850" max="3850" width="11.140625" style="42" customWidth="1"/>
    <col min="3851" max="3852" width="11.42578125" style="42" customWidth="1"/>
    <col min="3853" max="3853" width="11.140625" style="42" customWidth="1"/>
    <col min="3854" max="3854" width="13" style="42" customWidth="1"/>
    <col min="3855" max="4085" width="9.140625" style="42"/>
    <col min="4086" max="4086" width="5.28515625" style="42" customWidth="1"/>
    <col min="4087" max="4087" width="37.28515625" style="42" customWidth="1"/>
    <col min="4088" max="4091" width="14.42578125" style="42" customWidth="1"/>
    <col min="4092" max="4092" width="9.85546875" style="42" customWidth="1"/>
    <col min="4093" max="4094" width="16" style="42" customWidth="1"/>
    <col min="4095" max="4095" width="16.5703125" style="42" customWidth="1"/>
    <col min="4096" max="4096" width="12.140625" style="42" customWidth="1"/>
    <col min="4097" max="4097" width="11" style="42" customWidth="1"/>
    <col min="4098" max="4099" width="12.5703125" style="42" customWidth="1"/>
    <col min="4100" max="4100" width="9.140625" style="42"/>
    <col min="4101" max="4101" width="12.28515625" style="42" customWidth="1"/>
    <col min="4102" max="4102" width="14.85546875" style="42" customWidth="1"/>
    <col min="4103" max="4103" width="12.5703125" style="42" customWidth="1"/>
    <col min="4104" max="4104" width="14.42578125" style="42" customWidth="1"/>
    <col min="4105" max="4105" width="11" style="42" customWidth="1"/>
    <col min="4106" max="4106" width="11.140625" style="42" customWidth="1"/>
    <col min="4107" max="4108" width="11.42578125" style="42" customWidth="1"/>
    <col min="4109" max="4109" width="11.140625" style="42" customWidth="1"/>
    <col min="4110" max="4110" width="13" style="42" customWidth="1"/>
    <col min="4111" max="4341" width="9.140625" style="42"/>
    <col min="4342" max="4342" width="5.28515625" style="42" customWidth="1"/>
    <col min="4343" max="4343" width="37.28515625" style="42" customWidth="1"/>
    <col min="4344" max="4347" width="14.42578125" style="42" customWidth="1"/>
    <col min="4348" max="4348" width="9.85546875" style="42" customWidth="1"/>
    <col min="4349" max="4350" width="16" style="42" customWidth="1"/>
    <col min="4351" max="4351" width="16.5703125" style="42" customWidth="1"/>
    <col min="4352" max="4352" width="12.140625" style="42" customWidth="1"/>
    <col min="4353" max="4353" width="11" style="42" customWidth="1"/>
    <col min="4354" max="4355" width="12.5703125" style="42" customWidth="1"/>
    <col min="4356" max="4356" width="9.140625" style="42"/>
    <col min="4357" max="4357" width="12.28515625" style="42" customWidth="1"/>
    <col min="4358" max="4358" width="14.85546875" style="42" customWidth="1"/>
    <col min="4359" max="4359" width="12.5703125" style="42" customWidth="1"/>
    <col min="4360" max="4360" width="14.42578125" style="42" customWidth="1"/>
    <col min="4361" max="4361" width="11" style="42" customWidth="1"/>
    <col min="4362" max="4362" width="11.140625" style="42" customWidth="1"/>
    <col min="4363" max="4364" width="11.42578125" style="42" customWidth="1"/>
    <col min="4365" max="4365" width="11.140625" style="42" customWidth="1"/>
    <col min="4366" max="4366" width="13" style="42" customWidth="1"/>
    <col min="4367" max="4597" width="9.140625" style="42"/>
    <col min="4598" max="4598" width="5.28515625" style="42" customWidth="1"/>
    <col min="4599" max="4599" width="37.28515625" style="42" customWidth="1"/>
    <col min="4600" max="4603" width="14.42578125" style="42" customWidth="1"/>
    <col min="4604" max="4604" width="9.85546875" style="42" customWidth="1"/>
    <col min="4605" max="4606" width="16" style="42" customWidth="1"/>
    <col min="4607" max="4607" width="16.5703125" style="42" customWidth="1"/>
    <col min="4608" max="4608" width="12.140625" style="42" customWidth="1"/>
    <col min="4609" max="4609" width="11" style="42" customWidth="1"/>
    <col min="4610" max="4611" width="12.5703125" style="42" customWidth="1"/>
    <col min="4612" max="4612" width="9.140625" style="42"/>
    <col min="4613" max="4613" width="12.28515625" style="42" customWidth="1"/>
    <col min="4614" max="4614" width="14.85546875" style="42" customWidth="1"/>
    <col min="4615" max="4615" width="12.5703125" style="42" customWidth="1"/>
    <col min="4616" max="4616" width="14.42578125" style="42" customWidth="1"/>
    <col min="4617" max="4617" width="11" style="42" customWidth="1"/>
    <col min="4618" max="4618" width="11.140625" style="42" customWidth="1"/>
    <col min="4619" max="4620" width="11.42578125" style="42" customWidth="1"/>
    <col min="4621" max="4621" width="11.140625" style="42" customWidth="1"/>
    <col min="4622" max="4622" width="13" style="42" customWidth="1"/>
    <col min="4623" max="4853" width="9.140625" style="42"/>
    <col min="4854" max="4854" width="5.28515625" style="42" customWidth="1"/>
    <col min="4855" max="4855" width="37.28515625" style="42" customWidth="1"/>
    <col min="4856" max="4859" width="14.42578125" style="42" customWidth="1"/>
    <col min="4860" max="4860" width="9.85546875" style="42" customWidth="1"/>
    <col min="4861" max="4862" width="16" style="42" customWidth="1"/>
    <col min="4863" max="4863" width="16.5703125" style="42" customWidth="1"/>
    <col min="4864" max="4864" width="12.140625" style="42" customWidth="1"/>
    <col min="4865" max="4865" width="11" style="42" customWidth="1"/>
    <col min="4866" max="4867" width="12.5703125" style="42" customWidth="1"/>
    <col min="4868" max="4868" width="9.140625" style="42"/>
    <col min="4869" max="4869" width="12.28515625" style="42" customWidth="1"/>
    <col min="4870" max="4870" width="14.85546875" style="42" customWidth="1"/>
    <col min="4871" max="4871" width="12.5703125" style="42" customWidth="1"/>
    <col min="4872" max="4872" width="14.42578125" style="42" customWidth="1"/>
    <col min="4873" max="4873" width="11" style="42" customWidth="1"/>
    <col min="4874" max="4874" width="11.140625" style="42" customWidth="1"/>
    <col min="4875" max="4876" width="11.42578125" style="42" customWidth="1"/>
    <col min="4877" max="4877" width="11.140625" style="42" customWidth="1"/>
    <col min="4878" max="4878" width="13" style="42" customWidth="1"/>
    <col min="4879" max="5109" width="9.140625" style="42"/>
    <col min="5110" max="5110" width="5.28515625" style="42" customWidth="1"/>
    <col min="5111" max="5111" width="37.28515625" style="42" customWidth="1"/>
    <col min="5112" max="5115" width="14.42578125" style="42" customWidth="1"/>
    <col min="5116" max="5116" width="9.85546875" style="42" customWidth="1"/>
    <col min="5117" max="5118" width="16" style="42" customWidth="1"/>
    <col min="5119" max="5119" width="16.5703125" style="42" customWidth="1"/>
    <col min="5120" max="5120" width="12.140625" style="42" customWidth="1"/>
    <col min="5121" max="5121" width="11" style="42" customWidth="1"/>
    <col min="5122" max="5123" width="12.5703125" style="42" customWidth="1"/>
    <col min="5124" max="5124" width="9.140625" style="42"/>
    <col min="5125" max="5125" width="12.28515625" style="42" customWidth="1"/>
    <col min="5126" max="5126" width="14.85546875" style="42" customWidth="1"/>
    <col min="5127" max="5127" width="12.5703125" style="42" customWidth="1"/>
    <col min="5128" max="5128" width="14.42578125" style="42" customWidth="1"/>
    <col min="5129" max="5129" width="11" style="42" customWidth="1"/>
    <col min="5130" max="5130" width="11.140625" style="42" customWidth="1"/>
    <col min="5131" max="5132" width="11.42578125" style="42" customWidth="1"/>
    <col min="5133" max="5133" width="11.140625" style="42" customWidth="1"/>
    <col min="5134" max="5134" width="13" style="42" customWidth="1"/>
    <col min="5135" max="5365" width="9.140625" style="42"/>
    <col min="5366" max="5366" width="5.28515625" style="42" customWidth="1"/>
    <col min="5367" max="5367" width="37.28515625" style="42" customWidth="1"/>
    <col min="5368" max="5371" width="14.42578125" style="42" customWidth="1"/>
    <col min="5372" max="5372" width="9.85546875" style="42" customWidth="1"/>
    <col min="5373" max="5374" width="16" style="42" customWidth="1"/>
    <col min="5375" max="5375" width="16.5703125" style="42" customWidth="1"/>
    <col min="5376" max="5376" width="12.140625" style="42" customWidth="1"/>
    <col min="5377" max="5377" width="11" style="42" customWidth="1"/>
    <col min="5378" max="5379" width="12.5703125" style="42" customWidth="1"/>
    <col min="5380" max="5380" width="9.140625" style="42"/>
    <col min="5381" max="5381" width="12.28515625" style="42" customWidth="1"/>
    <col min="5382" max="5382" width="14.85546875" style="42" customWidth="1"/>
    <col min="5383" max="5383" width="12.5703125" style="42" customWidth="1"/>
    <col min="5384" max="5384" width="14.42578125" style="42" customWidth="1"/>
    <col min="5385" max="5385" width="11" style="42" customWidth="1"/>
    <col min="5386" max="5386" width="11.140625" style="42" customWidth="1"/>
    <col min="5387" max="5388" width="11.42578125" style="42" customWidth="1"/>
    <col min="5389" max="5389" width="11.140625" style="42" customWidth="1"/>
    <col min="5390" max="5390" width="13" style="42" customWidth="1"/>
    <col min="5391" max="5621" width="9.140625" style="42"/>
    <col min="5622" max="5622" width="5.28515625" style="42" customWidth="1"/>
    <col min="5623" max="5623" width="37.28515625" style="42" customWidth="1"/>
    <col min="5624" max="5627" width="14.42578125" style="42" customWidth="1"/>
    <col min="5628" max="5628" width="9.85546875" style="42" customWidth="1"/>
    <col min="5629" max="5630" width="16" style="42" customWidth="1"/>
    <col min="5631" max="5631" width="16.5703125" style="42" customWidth="1"/>
    <col min="5632" max="5632" width="12.140625" style="42" customWidth="1"/>
    <col min="5633" max="5633" width="11" style="42" customWidth="1"/>
    <col min="5634" max="5635" width="12.5703125" style="42" customWidth="1"/>
    <col min="5636" max="5636" width="9.140625" style="42"/>
    <col min="5637" max="5637" width="12.28515625" style="42" customWidth="1"/>
    <col min="5638" max="5638" width="14.85546875" style="42" customWidth="1"/>
    <col min="5639" max="5639" width="12.5703125" style="42" customWidth="1"/>
    <col min="5640" max="5640" width="14.42578125" style="42" customWidth="1"/>
    <col min="5641" max="5641" width="11" style="42" customWidth="1"/>
    <col min="5642" max="5642" width="11.140625" style="42" customWidth="1"/>
    <col min="5643" max="5644" width="11.42578125" style="42" customWidth="1"/>
    <col min="5645" max="5645" width="11.140625" style="42" customWidth="1"/>
    <col min="5646" max="5646" width="13" style="42" customWidth="1"/>
    <col min="5647" max="5877" width="9.140625" style="42"/>
    <col min="5878" max="5878" width="5.28515625" style="42" customWidth="1"/>
    <col min="5879" max="5879" width="37.28515625" style="42" customWidth="1"/>
    <col min="5880" max="5883" width="14.42578125" style="42" customWidth="1"/>
    <col min="5884" max="5884" width="9.85546875" style="42" customWidth="1"/>
    <col min="5885" max="5886" width="16" style="42" customWidth="1"/>
    <col min="5887" max="5887" width="16.5703125" style="42" customWidth="1"/>
    <col min="5888" max="5888" width="12.140625" style="42" customWidth="1"/>
    <col min="5889" max="5889" width="11" style="42" customWidth="1"/>
    <col min="5890" max="5891" width="12.5703125" style="42" customWidth="1"/>
    <col min="5892" max="5892" width="9.140625" style="42"/>
    <col min="5893" max="5893" width="12.28515625" style="42" customWidth="1"/>
    <col min="5894" max="5894" width="14.85546875" style="42" customWidth="1"/>
    <col min="5895" max="5895" width="12.5703125" style="42" customWidth="1"/>
    <col min="5896" max="5896" width="14.42578125" style="42" customWidth="1"/>
    <col min="5897" max="5897" width="11" style="42" customWidth="1"/>
    <col min="5898" max="5898" width="11.140625" style="42" customWidth="1"/>
    <col min="5899" max="5900" width="11.42578125" style="42" customWidth="1"/>
    <col min="5901" max="5901" width="11.140625" style="42" customWidth="1"/>
    <col min="5902" max="5902" width="13" style="42" customWidth="1"/>
    <col min="5903" max="6133" width="9.140625" style="42"/>
    <col min="6134" max="6134" width="5.28515625" style="42" customWidth="1"/>
    <col min="6135" max="6135" width="37.28515625" style="42" customWidth="1"/>
    <col min="6136" max="6139" width="14.42578125" style="42" customWidth="1"/>
    <col min="6140" max="6140" width="9.85546875" style="42" customWidth="1"/>
    <col min="6141" max="6142" width="16" style="42" customWidth="1"/>
    <col min="6143" max="6143" width="16.5703125" style="42" customWidth="1"/>
    <col min="6144" max="6144" width="12.140625" style="42" customWidth="1"/>
    <col min="6145" max="6145" width="11" style="42" customWidth="1"/>
    <col min="6146" max="6147" width="12.5703125" style="42" customWidth="1"/>
    <col min="6148" max="6148" width="9.140625" style="42"/>
    <col min="6149" max="6149" width="12.28515625" style="42" customWidth="1"/>
    <col min="6150" max="6150" width="14.85546875" style="42" customWidth="1"/>
    <col min="6151" max="6151" width="12.5703125" style="42" customWidth="1"/>
    <col min="6152" max="6152" width="14.42578125" style="42" customWidth="1"/>
    <col min="6153" max="6153" width="11" style="42" customWidth="1"/>
    <col min="6154" max="6154" width="11.140625" style="42" customWidth="1"/>
    <col min="6155" max="6156" width="11.42578125" style="42" customWidth="1"/>
    <col min="6157" max="6157" width="11.140625" style="42" customWidth="1"/>
    <col min="6158" max="6158" width="13" style="42" customWidth="1"/>
    <col min="6159" max="6389" width="9.140625" style="42"/>
    <col min="6390" max="6390" width="5.28515625" style="42" customWidth="1"/>
    <col min="6391" max="6391" width="37.28515625" style="42" customWidth="1"/>
    <col min="6392" max="6395" width="14.42578125" style="42" customWidth="1"/>
    <col min="6396" max="6396" width="9.85546875" style="42" customWidth="1"/>
    <col min="6397" max="6398" width="16" style="42" customWidth="1"/>
    <col min="6399" max="6399" width="16.5703125" style="42" customWidth="1"/>
    <col min="6400" max="6400" width="12.140625" style="42" customWidth="1"/>
    <col min="6401" max="6401" width="11" style="42" customWidth="1"/>
    <col min="6402" max="6403" width="12.5703125" style="42" customWidth="1"/>
    <col min="6404" max="6404" width="9.140625" style="42"/>
    <col min="6405" max="6405" width="12.28515625" style="42" customWidth="1"/>
    <col min="6406" max="6406" width="14.85546875" style="42" customWidth="1"/>
    <col min="6407" max="6407" width="12.5703125" style="42" customWidth="1"/>
    <col min="6408" max="6408" width="14.42578125" style="42" customWidth="1"/>
    <col min="6409" max="6409" width="11" style="42" customWidth="1"/>
    <col min="6410" max="6410" width="11.140625" style="42" customWidth="1"/>
    <col min="6411" max="6412" width="11.42578125" style="42" customWidth="1"/>
    <col min="6413" max="6413" width="11.140625" style="42" customWidth="1"/>
    <col min="6414" max="6414" width="13" style="42" customWidth="1"/>
    <col min="6415" max="6645" width="9.140625" style="42"/>
    <col min="6646" max="6646" width="5.28515625" style="42" customWidth="1"/>
    <col min="6647" max="6647" width="37.28515625" style="42" customWidth="1"/>
    <col min="6648" max="6651" width="14.42578125" style="42" customWidth="1"/>
    <col min="6652" max="6652" width="9.85546875" style="42" customWidth="1"/>
    <col min="6653" max="6654" width="16" style="42" customWidth="1"/>
    <col min="6655" max="6655" width="16.5703125" style="42" customWidth="1"/>
    <col min="6656" max="6656" width="12.140625" style="42" customWidth="1"/>
    <col min="6657" max="6657" width="11" style="42" customWidth="1"/>
    <col min="6658" max="6659" width="12.5703125" style="42" customWidth="1"/>
    <col min="6660" max="6660" width="9.140625" style="42"/>
    <col min="6661" max="6661" width="12.28515625" style="42" customWidth="1"/>
    <col min="6662" max="6662" width="14.85546875" style="42" customWidth="1"/>
    <col min="6663" max="6663" width="12.5703125" style="42" customWidth="1"/>
    <col min="6664" max="6664" width="14.42578125" style="42" customWidth="1"/>
    <col min="6665" max="6665" width="11" style="42" customWidth="1"/>
    <col min="6666" max="6666" width="11.140625" style="42" customWidth="1"/>
    <col min="6667" max="6668" width="11.42578125" style="42" customWidth="1"/>
    <col min="6669" max="6669" width="11.140625" style="42" customWidth="1"/>
    <col min="6670" max="6670" width="13" style="42" customWidth="1"/>
    <col min="6671" max="6901" width="9.140625" style="42"/>
    <col min="6902" max="6902" width="5.28515625" style="42" customWidth="1"/>
    <col min="6903" max="6903" width="37.28515625" style="42" customWidth="1"/>
    <col min="6904" max="6907" width="14.42578125" style="42" customWidth="1"/>
    <col min="6908" max="6908" width="9.85546875" style="42" customWidth="1"/>
    <col min="6909" max="6910" width="16" style="42" customWidth="1"/>
    <col min="6911" max="6911" width="16.5703125" style="42" customWidth="1"/>
    <col min="6912" max="6912" width="12.140625" style="42" customWidth="1"/>
    <col min="6913" max="6913" width="11" style="42" customWidth="1"/>
    <col min="6914" max="6915" width="12.5703125" style="42" customWidth="1"/>
    <col min="6916" max="6916" width="9.140625" style="42"/>
    <col min="6917" max="6917" width="12.28515625" style="42" customWidth="1"/>
    <col min="6918" max="6918" width="14.85546875" style="42" customWidth="1"/>
    <col min="6919" max="6919" width="12.5703125" style="42" customWidth="1"/>
    <col min="6920" max="6920" width="14.42578125" style="42" customWidth="1"/>
    <col min="6921" max="6921" width="11" style="42" customWidth="1"/>
    <col min="6922" max="6922" width="11.140625" style="42" customWidth="1"/>
    <col min="6923" max="6924" width="11.42578125" style="42" customWidth="1"/>
    <col min="6925" max="6925" width="11.140625" style="42" customWidth="1"/>
    <col min="6926" max="6926" width="13" style="42" customWidth="1"/>
    <col min="6927" max="7157" width="9.140625" style="42"/>
    <col min="7158" max="7158" width="5.28515625" style="42" customWidth="1"/>
    <col min="7159" max="7159" width="37.28515625" style="42" customWidth="1"/>
    <col min="7160" max="7163" width="14.42578125" style="42" customWidth="1"/>
    <col min="7164" max="7164" width="9.85546875" style="42" customWidth="1"/>
    <col min="7165" max="7166" width="16" style="42" customWidth="1"/>
    <col min="7167" max="7167" width="16.5703125" style="42" customWidth="1"/>
    <col min="7168" max="7168" width="12.140625" style="42" customWidth="1"/>
    <col min="7169" max="7169" width="11" style="42" customWidth="1"/>
    <col min="7170" max="7171" width="12.5703125" style="42" customWidth="1"/>
    <col min="7172" max="7172" width="9.140625" style="42"/>
    <col min="7173" max="7173" width="12.28515625" style="42" customWidth="1"/>
    <col min="7174" max="7174" width="14.85546875" style="42" customWidth="1"/>
    <col min="7175" max="7175" width="12.5703125" style="42" customWidth="1"/>
    <col min="7176" max="7176" width="14.42578125" style="42" customWidth="1"/>
    <col min="7177" max="7177" width="11" style="42" customWidth="1"/>
    <col min="7178" max="7178" width="11.140625" style="42" customWidth="1"/>
    <col min="7179" max="7180" width="11.42578125" style="42" customWidth="1"/>
    <col min="7181" max="7181" width="11.140625" style="42" customWidth="1"/>
    <col min="7182" max="7182" width="13" style="42" customWidth="1"/>
    <col min="7183" max="7413" width="9.140625" style="42"/>
    <col min="7414" max="7414" width="5.28515625" style="42" customWidth="1"/>
    <col min="7415" max="7415" width="37.28515625" style="42" customWidth="1"/>
    <col min="7416" max="7419" width="14.42578125" style="42" customWidth="1"/>
    <col min="7420" max="7420" width="9.85546875" style="42" customWidth="1"/>
    <col min="7421" max="7422" width="16" style="42" customWidth="1"/>
    <col min="7423" max="7423" width="16.5703125" style="42" customWidth="1"/>
    <col min="7424" max="7424" width="12.140625" style="42" customWidth="1"/>
    <col min="7425" max="7425" width="11" style="42" customWidth="1"/>
    <col min="7426" max="7427" width="12.5703125" style="42" customWidth="1"/>
    <col min="7428" max="7428" width="9.140625" style="42"/>
    <col min="7429" max="7429" width="12.28515625" style="42" customWidth="1"/>
    <col min="7430" max="7430" width="14.85546875" style="42" customWidth="1"/>
    <col min="7431" max="7431" width="12.5703125" style="42" customWidth="1"/>
    <col min="7432" max="7432" width="14.42578125" style="42" customWidth="1"/>
    <col min="7433" max="7433" width="11" style="42" customWidth="1"/>
    <col min="7434" max="7434" width="11.140625" style="42" customWidth="1"/>
    <col min="7435" max="7436" width="11.42578125" style="42" customWidth="1"/>
    <col min="7437" max="7437" width="11.140625" style="42" customWidth="1"/>
    <col min="7438" max="7438" width="13" style="42" customWidth="1"/>
    <col min="7439" max="7669" width="9.140625" style="42"/>
    <col min="7670" max="7670" width="5.28515625" style="42" customWidth="1"/>
    <col min="7671" max="7671" width="37.28515625" style="42" customWidth="1"/>
    <col min="7672" max="7675" width="14.42578125" style="42" customWidth="1"/>
    <col min="7676" max="7676" width="9.85546875" style="42" customWidth="1"/>
    <col min="7677" max="7678" width="16" style="42" customWidth="1"/>
    <col min="7679" max="7679" width="16.5703125" style="42" customWidth="1"/>
    <col min="7680" max="7680" width="12.140625" style="42" customWidth="1"/>
    <col min="7681" max="7681" width="11" style="42" customWidth="1"/>
    <col min="7682" max="7683" width="12.5703125" style="42" customWidth="1"/>
    <col min="7684" max="7684" width="9.140625" style="42"/>
    <col min="7685" max="7685" width="12.28515625" style="42" customWidth="1"/>
    <col min="7686" max="7686" width="14.85546875" style="42" customWidth="1"/>
    <col min="7687" max="7687" width="12.5703125" style="42" customWidth="1"/>
    <col min="7688" max="7688" width="14.42578125" style="42" customWidth="1"/>
    <col min="7689" max="7689" width="11" style="42" customWidth="1"/>
    <col min="7690" max="7690" width="11.140625" style="42" customWidth="1"/>
    <col min="7691" max="7692" width="11.42578125" style="42" customWidth="1"/>
    <col min="7693" max="7693" width="11.140625" style="42" customWidth="1"/>
    <col min="7694" max="7694" width="13" style="42" customWidth="1"/>
    <col min="7695" max="7925" width="9.140625" style="42"/>
    <col min="7926" max="7926" width="5.28515625" style="42" customWidth="1"/>
    <col min="7927" max="7927" width="37.28515625" style="42" customWidth="1"/>
    <col min="7928" max="7931" width="14.42578125" style="42" customWidth="1"/>
    <col min="7932" max="7932" width="9.85546875" style="42" customWidth="1"/>
    <col min="7933" max="7934" width="16" style="42" customWidth="1"/>
    <col min="7935" max="7935" width="16.5703125" style="42" customWidth="1"/>
    <col min="7936" max="7936" width="12.140625" style="42" customWidth="1"/>
    <col min="7937" max="7937" width="11" style="42" customWidth="1"/>
    <col min="7938" max="7939" width="12.5703125" style="42" customWidth="1"/>
    <col min="7940" max="7940" width="9.140625" style="42"/>
    <col min="7941" max="7941" width="12.28515625" style="42" customWidth="1"/>
    <col min="7942" max="7942" width="14.85546875" style="42" customWidth="1"/>
    <col min="7943" max="7943" width="12.5703125" style="42" customWidth="1"/>
    <col min="7944" max="7944" width="14.42578125" style="42" customWidth="1"/>
    <col min="7945" max="7945" width="11" style="42" customWidth="1"/>
    <col min="7946" max="7946" width="11.140625" style="42" customWidth="1"/>
    <col min="7947" max="7948" width="11.42578125" style="42" customWidth="1"/>
    <col min="7949" max="7949" width="11.140625" style="42" customWidth="1"/>
    <col min="7950" max="7950" width="13" style="42" customWidth="1"/>
    <col min="7951" max="8181" width="9.140625" style="42"/>
    <col min="8182" max="8182" width="5.28515625" style="42" customWidth="1"/>
    <col min="8183" max="8183" width="37.28515625" style="42" customWidth="1"/>
    <col min="8184" max="8187" width="14.42578125" style="42" customWidth="1"/>
    <col min="8188" max="8188" width="9.85546875" style="42" customWidth="1"/>
    <col min="8189" max="8190" width="16" style="42" customWidth="1"/>
    <col min="8191" max="8191" width="16.5703125" style="42" customWidth="1"/>
    <col min="8192" max="8192" width="12.140625" style="42" customWidth="1"/>
    <col min="8193" max="8193" width="11" style="42" customWidth="1"/>
    <col min="8194" max="8195" width="12.5703125" style="42" customWidth="1"/>
    <col min="8196" max="8196" width="9.140625" style="42"/>
    <col min="8197" max="8197" width="12.28515625" style="42" customWidth="1"/>
    <col min="8198" max="8198" width="14.85546875" style="42" customWidth="1"/>
    <col min="8199" max="8199" width="12.5703125" style="42" customWidth="1"/>
    <col min="8200" max="8200" width="14.42578125" style="42" customWidth="1"/>
    <col min="8201" max="8201" width="11" style="42" customWidth="1"/>
    <col min="8202" max="8202" width="11.140625" style="42" customWidth="1"/>
    <col min="8203" max="8204" width="11.42578125" style="42" customWidth="1"/>
    <col min="8205" max="8205" width="11.140625" style="42" customWidth="1"/>
    <col min="8206" max="8206" width="13" style="42" customWidth="1"/>
    <col min="8207" max="8437" width="9.140625" style="42"/>
    <col min="8438" max="8438" width="5.28515625" style="42" customWidth="1"/>
    <col min="8439" max="8439" width="37.28515625" style="42" customWidth="1"/>
    <col min="8440" max="8443" width="14.42578125" style="42" customWidth="1"/>
    <col min="8444" max="8444" width="9.85546875" style="42" customWidth="1"/>
    <col min="8445" max="8446" width="16" style="42" customWidth="1"/>
    <col min="8447" max="8447" width="16.5703125" style="42" customWidth="1"/>
    <col min="8448" max="8448" width="12.140625" style="42" customWidth="1"/>
    <col min="8449" max="8449" width="11" style="42" customWidth="1"/>
    <col min="8450" max="8451" width="12.5703125" style="42" customWidth="1"/>
    <col min="8452" max="8452" width="9.140625" style="42"/>
    <col min="8453" max="8453" width="12.28515625" style="42" customWidth="1"/>
    <col min="8454" max="8454" width="14.85546875" style="42" customWidth="1"/>
    <col min="8455" max="8455" width="12.5703125" style="42" customWidth="1"/>
    <col min="8456" max="8456" width="14.42578125" style="42" customWidth="1"/>
    <col min="8457" max="8457" width="11" style="42" customWidth="1"/>
    <col min="8458" max="8458" width="11.140625" style="42" customWidth="1"/>
    <col min="8459" max="8460" width="11.42578125" style="42" customWidth="1"/>
    <col min="8461" max="8461" width="11.140625" style="42" customWidth="1"/>
    <col min="8462" max="8462" width="13" style="42" customWidth="1"/>
    <col min="8463" max="8693" width="9.140625" style="42"/>
    <col min="8694" max="8694" width="5.28515625" style="42" customWidth="1"/>
    <col min="8695" max="8695" width="37.28515625" style="42" customWidth="1"/>
    <col min="8696" max="8699" width="14.42578125" style="42" customWidth="1"/>
    <col min="8700" max="8700" width="9.85546875" style="42" customWidth="1"/>
    <col min="8701" max="8702" width="16" style="42" customWidth="1"/>
    <col min="8703" max="8703" width="16.5703125" style="42" customWidth="1"/>
    <col min="8704" max="8704" width="12.140625" style="42" customWidth="1"/>
    <col min="8705" max="8705" width="11" style="42" customWidth="1"/>
    <col min="8706" max="8707" width="12.5703125" style="42" customWidth="1"/>
    <col min="8708" max="8708" width="9.140625" style="42"/>
    <col min="8709" max="8709" width="12.28515625" style="42" customWidth="1"/>
    <col min="8710" max="8710" width="14.85546875" style="42" customWidth="1"/>
    <col min="8711" max="8711" width="12.5703125" style="42" customWidth="1"/>
    <col min="8712" max="8712" width="14.42578125" style="42" customWidth="1"/>
    <col min="8713" max="8713" width="11" style="42" customWidth="1"/>
    <col min="8714" max="8714" width="11.140625" style="42" customWidth="1"/>
    <col min="8715" max="8716" width="11.42578125" style="42" customWidth="1"/>
    <col min="8717" max="8717" width="11.140625" style="42" customWidth="1"/>
    <col min="8718" max="8718" width="13" style="42" customWidth="1"/>
    <col min="8719" max="8949" width="9.140625" style="42"/>
    <col min="8950" max="8950" width="5.28515625" style="42" customWidth="1"/>
    <col min="8951" max="8951" width="37.28515625" style="42" customWidth="1"/>
    <col min="8952" max="8955" width="14.42578125" style="42" customWidth="1"/>
    <col min="8956" max="8956" width="9.85546875" style="42" customWidth="1"/>
    <col min="8957" max="8958" width="16" style="42" customWidth="1"/>
    <col min="8959" max="8959" width="16.5703125" style="42" customWidth="1"/>
    <col min="8960" max="8960" width="12.140625" style="42" customWidth="1"/>
    <col min="8961" max="8961" width="11" style="42" customWidth="1"/>
    <col min="8962" max="8963" width="12.5703125" style="42" customWidth="1"/>
    <col min="8964" max="8964" width="9.140625" style="42"/>
    <col min="8965" max="8965" width="12.28515625" style="42" customWidth="1"/>
    <col min="8966" max="8966" width="14.85546875" style="42" customWidth="1"/>
    <col min="8967" max="8967" width="12.5703125" style="42" customWidth="1"/>
    <col min="8968" max="8968" width="14.42578125" style="42" customWidth="1"/>
    <col min="8969" max="8969" width="11" style="42" customWidth="1"/>
    <col min="8970" max="8970" width="11.140625" style="42" customWidth="1"/>
    <col min="8971" max="8972" width="11.42578125" style="42" customWidth="1"/>
    <col min="8973" max="8973" width="11.140625" style="42" customWidth="1"/>
    <col min="8974" max="8974" width="13" style="42" customWidth="1"/>
    <col min="8975" max="9205" width="9.140625" style="42"/>
    <col min="9206" max="9206" width="5.28515625" style="42" customWidth="1"/>
    <col min="9207" max="9207" width="37.28515625" style="42" customWidth="1"/>
    <col min="9208" max="9211" width="14.42578125" style="42" customWidth="1"/>
    <col min="9212" max="9212" width="9.85546875" style="42" customWidth="1"/>
    <col min="9213" max="9214" width="16" style="42" customWidth="1"/>
    <col min="9215" max="9215" width="16.5703125" style="42" customWidth="1"/>
    <col min="9216" max="9216" width="12.140625" style="42" customWidth="1"/>
    <col min="9217" max="9217" width="11" style="42" customWidth="1"/>
    <col min="9218" max="9219" width="12.5703125" style="42" customWidth="1"/>
    <col min="9220" max="9220" width="9.140625" style="42"/>
    <col min="9221" max="9221" width="12.28515625" style="42" customWidth="1"/>
    <col min="9222" max="9222" width="14.85546875" style="42" customWidth="1"/>
    <col min="9223" max="9223" width="12.5703125" style="42" customWidth="1"/>
    <col min="9224" max="9224" width="14.42578125" style="42" customWidth="1"/>
    <col min="9225" max="9225" width="11" style="42" customWidth="1"/>
    <col min="9226" max="9226" width="11.140625" style="42" customWidth="1"/>
    <col min="9227" max="9228" width="11.42578125" style="42" customWidth="1"/>
    <col min="9229" max="9229" width="11.140625" style="42" customWidth="1"/>
    <col min="9230" max="9230" width="13" style="42" customWidth="1"/>
    <col min="9231" max="9461" width="9.140625" style="42"/>
    <col min="9462" max="9462" width="5.28515625" style="42" customWidth="1"/>
    <col min="9463" max="9463" width="37.28515625" style="42" customWidth="1"/>
    <col min="9464" max="9467" width="14.42578125" style="42" customWidth="1"/>
    <col min="9468" max="9468" width="9.85546875" style="42" customWidth="1"/>
    <col min="9469" max="9470" width="16" style="42" customWidth="1"/>
    <col min="9471" max="9471" width="16.5703125" style="42" customWidth="1"/>
    <col min="9472" max="9472" width="12.140625" style="42" customWidth="1"/>
    <col min="9473" max="9473" width="11" style="42" customWidth="1"/>
    <col min="9474" max="9475" width="12.5703125" style="42" customWidth="1"/>
    <col min="9476" max="9476" width="9.140625" style="42"/>
    <col min="9477" max="9477" width="12.28515625" style="42" customWidth="1"/>
    <col min="9478" max="9478" width="14.85546875" style="42" customWidth="1"/>
    <col min="9479" max="9479" width="12.5703125" style="42" customWidth="1"/>
    <col min="9480" max="9480" width="14.42578125" style="42" customWidth="1"/>
    <col min="9481" max="9481" width="11" style="42" customWidth="1"/>
    <col min="9482" max="9482" width="11.140625" style="42" customWidth="1"/>
    <col min="9483" max="9484" width="11.42578125" style="42" customWidth="1"/>
    <col min="9485" max="9485" width="11.140625" style="42" customWidth="1"/>
    <col min="9486" max="9486" width="13" style="42" customWidth="1"/>
    <col min="9487" max="9717" width="9.140625" style="42"/>
    <col min="9718" max="9718" width="5.28515625" style="42" customWidth="1"/>
    <col min="9719" max="9719" width="37.28515625" style="42" customWidth="1"/>
    <col min="9720" max="9723" width="14.42578125" style="42" customWidth="1"/>
    <col min="9724" max="9724" width="9.85546875" style="42" customWidth="1"/>
    <col min="9725" max="9726" width="16" style="42" customWidth="1"/>
    <col min="9727" max="9727" width="16.5703125" style="42" customWidth="1"/>
    <col min="9728" max="9728" width="12.140625" style="42" customWidth="1"/>
    <col min="9729" max="9729" width="11" style="42" customWidth="1"/>
    <col min="9730" max="9731" width="12.5703125" style="42" customWidth="1"/>
    <col min="9732" max="9732" width="9.140625" style="42"/>
    <col min="9733" max="9733" width="12.28515625" style="42" customWidth="1"/>
    <col min="9734" max="9734" width="14.85546875" style="42" customWidth="1"/>
    <col min="9735" max="9735" width="12.5703125" style="42" customWidth="1"/>
    <col min="9736" max="9736" width="14.42578125" style="42" customWidth="1"/>
    <col min="9737" max="9737" width="11" style="42" customWidth="1"/>
    <col min="9738" max="9738" width="11.140625" style="42" customWidth="1"/>
    <col min="9739" max="9740" width="11.42578125" style="42" customWidth="1"/>
    <col min="9741" max="9741" width="11.140625" style="42" customWidth="1"/>
    <col min="9742" max="9742" width="13" style="42" customWidth="1"/>
    <col min="9743" max="9973" width="9.140625" style="42"/>
    <col min="9974" max="9974" width="5.28515625" style="42" customWidth="1"/>
    <col min="9975" max="9975" width="37.28515625" style="42" customWidth="1"/>
    <col min="9976" max="9979" width="14.42578125" style="42" customWidth="1"/>
    <col min="9980" max="9980" width="9.85546875" style="42" customWidth="1"/>
    <col min="9981" max="9982" width="16" style="42" customWidth="1"/>
    <col min="9983" max="9983" width="16.5703125" style="42" customWidth="1"/>
    <col min="9984" max="9984" width="12.140625" style="42" customWidth="1"/>
    <col min="9985" max="9985" width="11" style="42" customWidth="1"/>
    <col min="9986" max="9987" width="12.5703125" style="42" customWidth="1"/>
    <col min="9988" max="9988" width="9.140625" style="42"/>
    <col min="9989" max="9989" width="12.28515625" style="42" customWidth="1"/>
    <col min="9990" max="9990" width="14.85546875" style="42" customWidth="1"/>
    <col min="9991" max="9991" width="12.5703125" style="42" customWidth="1"/>
    <col min="9992" max="9992" width="14.42578125" style="42" customWidth="1"/>
    <col min="9993" max="9993" width="11" style="42" customWidth="1"/>
    <col min="9994" max="9994" width="11.140625" style="42" customWidth="1"/>
    <col min="9995" max="9996" width="11.42578125" style="42" customWidth="1"/>
    <col min="9997" max="9997" width="11.140625" style="42" customWidth="1"/>
    <col min="9998" max="9998" width="13" style="42" customWidth="1"/>
    <col min="9999" max="10229" width="9.140625" style="42"/>
    <col min="10230" max="10230" width="5.28515625" style="42" customWidth="1"/>
    <col min="10231" max="10231" width="37.28515625" style="42" customWidth="1"/>
    <col min="10232" max="10235" width="14.42578125" style="42" customWidth="1"/>
    <col min="10236" max="10236" width="9.85546875" style="42" customWidth="1"/>
    <col min="10237" max="10238" width="16" style="42" customWidth="1"/>
    <col min="10239" max="10239" width="16.5703125" style="42" customWidth="1"/>
    <col min="10240" max="10240" width="12.140625" style="42" customWidth="1"/>
    <col min="10241" max="10241" width="11" style="42" customWidth="1"/>
    <col min="10242" max="10243" width="12.5703125" style="42" customWidth="1"/>
    <col min="10244" max="10244" width="9.140625" style="42"/>
    <col min="10245" max="10245" width="12.28515625" style="42" customWidth="1"/>
    <col min="10246" max="10246" width="14.85546875" style="42" customWidth="1"/>
    <col min="10247" max="10247" width="12.5703125" style="42" customWidth="1"/>
    <col min="10248" max="10248" width="14.42578125" style="42" customWidth="1"/>
    <col min="10249" max="10249" width="11" style="42" customWidth="1"/>
    <col min="10250" max="10250" width="11.140625" style="42" customWidth="1"/>
    <col min="10251" max="10252" width="11.42578125" style="42" customWidth="1"/>
    <col min="10253" max="10253" width="11.140625" style="42" customWidth="1"/>
    <col min="10254" max="10254" width="13" style="42" customWidth="1"/>
    <col min="10255" max="10485" width="9.140625" style="42"/>
    <col min="10486" max="10486" width="5.28515625" style="42" customWidth="1"/>
    <col min="10487" max="10487" width="37.28515625" style="42" customWidth="1"/>
    <col min="10488" max="10491" width="14.42578125" style="42" customWidth="1"/>
    <col min="10492" max="10492" width="9.85546875" style="42" customWidth="1"/>
    <col min="10493" max="10494" width="16" style="42" customWidth="1"/>
    <col min="10495" max="10495" width="16.5703125" style="42" customWidth="1"/>
    <col min="10496" max="10496" width="12.140625" style="42" customWidth="1"/>
    <col min="10497" max="10497" width="11" style="42" customWidth="1"/>
    <col min="10498" max="10499" width="12.5703125" style="42" customWidth="1"/>
    <col min="10500" max="10500" width="9.140625" style="42"/>
    <col min="10501" max="10501" width="12.28515625" style="42" customWidth="1"/>
    <col min="10502" max="10502" width="14.85546875" style="42" customWidth="1"/>
    <col min="10503" max="10503" width="12.5703125" style="42" customWidth="1"/>
    <col min="10504" max="10504" width="14.42578125" style="42" customWidth="1"/>
    <col min="10505" max="10505" width="11" style="42" customWidth="1"/>
    <col min="10506" max="10506" width="11.140625" style="42" customWidth="1"/>
    <col min="10507" max="10508" width="11.42578125" style="42" customWidth="1"/>
    <col min="10509" max="10509" width="11.140625" style="42" customWidth="1"/>
    <col min="10510" max="10510" width="13" style="42" customWidth="1"/>
    <col min="10511" max="10741" width="9.140625" style="42"/>
    <col min="10742" max="10742" width="5.28515625" style="42" customWidth="1"/>
    <col min="10743" max="10743" width="37.28515625" style="42" customWidth="1"/>
    <col min="10744" max="10747" width="14.42578125" style="42" customWidth="1"/>
    <col min="10748" max="10748" width="9.85546875" style="42" customWidth="1"/>
    <col min="10749" max="10750" width="16" style="42" customWidth="1"/>
    <col min="10751" max="10751" width="16.5703125" style="42" customWidth="1"/>
    <col min="10752" max="10752" width="12.140625" style="42" customWidth="1"/>
    <col min="10753" max="10753" width="11" style="42" customWidth="1"/>
    <col min="10754" max="10755" width="12.5703125" style="42" customWidth="1"/>
    <col min="10756" max="10756" width="9.140625" style="42"/>
    <col min="10757" max="10757" width="12.28515625" style="42" customWidth="1"/>
    <col min="10758" max="10758" width="14.85546875" style="42" customWidth="1"/>
    <col min="10759" max="10759" width="12.5703125" style="42" customWidth="1"/>
    <col min="10760" max="10760" width="14.42578125" style="42" customWidth="1"/>
    <col min="10761" max="10761" width="11" style="42" customWidth="1"/>
    <col min="10762" max="10762" width="11.140625" style="42" customWidth="1"/>
    <col min="10763" max="10764" width="11.42578125" style="42" customWidth="1"/>
    <col min="10765" max="10765" width="11.140625" style="42" customWidth="1"/>
    <col min="10766" max="10766" width="13" style="42" customWidth="1"/>
    <col min="10767" max="10997" width="9.140625" style="42"/>
    <col min="10998" max="10998" width="5.28515625" style="42" customWidth="1"/>
    <col min="10999" max="10999" width="37.28515625" style="42" customWidth="1"/>
    <col min="11000" max="11003" width="14.42578125" style="42" customWidth="1"/>
    <col min="11004" max="11004" width="9.85546875" style="42" customWidth="1"/>
    <col min="11005" max="11006" width="16" style="42" customWidth="1"/>
    <col min="11007" max="11007" width="16.5703125" style="42" customWidth="1"/>
    <col min="11008" max="11008" width="12.140625" style="42" customWidth="1"/>
    <col min="11009" max="11009" width="11" style="42" customWidth="1"/>
    <col min="11010" max="11011" width="12.5703125" style="42" customWidth="1"/>
    <col min="11012" max="11012" width="9.140625" style="42"/>
    <col min="11013" max="11013" width="12.28515625" style="42" customWidth="1"/>
    <col min="11014" max="11014" width="14.85546875" style="42" customWidth="1"/>
    <col min="11015" max="11015" width="12.5703125" style="42" customWidth="1"/>
    <col min="11016" max="11016" width="14.42578125" style="42" customWidth="1"/>
    <col min="11017" max="11017" width="11" style="42" customWidth="1"/>
    <col min="11018" max="11018" width="11.140625" style="42" customWidth="1"/>
    <col min="11019" max="11020" width="11.42578125" style="42" customWidth="1"/>
    <col min="11021" max="11021" width="11.140625" style="42" customWidth="1"/>
    <col min="11022" max="11022" width="13" style="42" customWidth="1"/>
    <col min="11023" max="11253" width="9.140625" style="42"/>
    <col min="11254" max="11254" width="5.28515625" style="42" customWidth="1"/>
    <col min="11255" max="11255" width="37.28515625" style="42" customWidth="1"/>
    <col min="11256" max="11259" width="14.42578125" style="42" customWidth="1"/>
    <col min="11260" max="11260" width="9.85546875" style="42" customWidth="1"/>
    <col min="11261" max="11262" width="16" style="42" customWidth="1"/>
    <col min="11263" max="11263" width="16.5703125" style="42" customWidth="1"/>
    <col min="11264" max="11264" width="12.140625" style="42" customWidth="1"/>
    <col min="11265" max="11265" width="11" style="42" customWidth="1"/>
    <col min="11266" max="11267" width="12.5703125" style="42" customWidth="1"/>
    <col min="11268" max="11268" width="9.140625" style="42"/>
    <col min="11269" max="11269" width="12.28515625" style="42" customWidth="1"/>
    <col min="11270" max="11270" width="14.85546875" style="42" customWidth="1"/>
    <col min="11271" max="11271" width="12.5703125" style="42" customWidth="1"/>
    <col min="11272" max="11272" width="14.42578125" style="42" customWidth="1"/>
    <col min="11273" max="11273" width="11" style="42" customWidth="1"/>
    <col min="11274" max="11274" width="11.140625" style="42" customWidth="1"/>
    <col min="11275" max="11276" width="11.42578125" style="42" customWidth="1"/>
    <col min="11277" max="11277" width="11.140625" style="42" customWidth="1"/>
    <col min="11278" max="11278" width="13" style="42" customWidth="1"/>
    <col min="11279" max="11509" width="9.140625" style="42"/>
    <col min="11510" max="11510" width="5.28515625" style="42" customWidth="1"/>
    <col min="11511" max="11511" width="37.28515625" style="42" customWidth="1"/>
    <col min="11512" max="11515" width="14.42578125" style="42" customWidth="1"/>
    <col min="11516" max="11516" width="9.85546875" style="42" customWidth="1"/>
    <col min="11517" max="11518" width="16" style="42" customWidth="1"/>
    <col min="11519" max="11519" width="16.5703125" style="42" customWidth="1"/>
    <col min="11520" max="11520" width="12.140625" style="42" customWidth="1"/>
    <col min="11521" max="11521" width="11" style="42" customWidth="1"/>
    <col min="11522" max="11523" width="12.5703125" style="42" customWidth="1"/>
    <col min="11524" max="11524" width="9.140625" style="42"/>
    <col min="11525" max="11525" width="12.28515625" style="42" customWidth="1"/>
    <col min="11526" max="11526" width="14.85546875" style="42" customWidth="1"/>
    <col min="11527" max="11527" width="12.5703125" style="42" customWidth="1"/>
    <col min="11528" max="11528" width="14.42578125" style="42" customWidth="1"/>
    <col min="11529" max="11529" width="11" style="42" customWidth="1"/>
    <col min="11530" max="11530" width="11.140625" style="42" customWidth="1"/>
    <col min="11531" max="11532" width="11.42578125" style="42" customWidth="1"/>
    <col min="11533" max="11533" width="11.140625" style="42" customWidth="1"/>
    <col min="11534" max="11534" width="13" style="42" customWidth="1"/>
    <col min="11535" max="11765" width="9.140625" style="42"/>
    <col min="11766" max="11766" width="5.28515625" style="42" customWidth="1"/>
    <col min="11767" max="11767" width="37.28515625" style="42" customWidth="1"/>
    <col min="11768" max="11771" width="14.42578125" style="42" customWidth="1"/>
    <col min="11772" max="11772" width="9.85546875" style="42" customWidth="1"/>
    <col min="11773" max="11774" width="16" style="42" customWidth="1"/>
    <col min="11775" max="11775" width="16.5703125" style="42" customWidth="1"/>
    <col min="11776" max="11776" width="12.140625" style="42" customWidth="1"/>
    <col min="11777" max="11777" width="11" style="42" customWidth="1"/>
    <col min="11778" max="11779" width="12.5703125" style="42" customWidth="1"/>
    <col min="11780" max="11780" width="9.140625" style="42"/>
    <col min="11781" max="11781" width="12.28515625" style="42" customWidth="1"/>
    <col min="11782" max="11782" width="14.85546875" style="42" customWidth="1"/>
    <col min="11783" max="11783" width="12.5703125" style="42" customWidth="1"/>
    <col min="11784" max="11784" width="14.42578125" style="42" customWidth="1"/>
    <col min="11785" max="11785" width="11" style="42" customWidth="1"/>
    <col min="11786" max="11786" width="11.140625" style="42" customWidth="1"/>
    <col min="11787" max="11788" width="11.42578125" style="42" customWidth="1"/>
    <col min="11789" max="11789" width="11.140625" style="42" customWidth="1"/>
    <col min="11790" max="11790" width="13" style="42" customWidth="1"/>
    <col min="11791" max="12021" width="9.140625" style="42"/>
    <col min="12022" max="12022" width="5.28515625" style="42" customWidth="1"/>
    <col min="12023" max="12023" width="37.28515625" style="42" customWidth="1"/>
    <col min="12024" max="12027" width="14.42578125" style="42" customWidth="1"/>
    <col min="12028" max="12028" width="9.85546875" style="42" customWidth="1"/>
    <col min="12029" max="12030" width="16" style="42" customWidth="1"/>
    <col min="12031" max="12031" width="16.5703125" style="42" customWidth="1"/>
    <col min="12032" max="12032" width="12.140625" style="42" customWidth="1"/>
    <col min="12033" max="12033" width="11" style="42" customWidth="1"/>
    <col min="12034" max="12035" width="12.5703125" style="42" customWidth="1"/>
    <col min="12036" max="12036" width="9.140625" style="42"/>
    <col min="12037" max="12037" width="12.28515625" style="42" customWidth="1"/>
    <col min="12038" max="12038" width="14.85546875" style="42" customWidth="1"/>
    <col min="12039" max="12039" width="12.5703125" style="42" customWidth="1"/>
    <col min="12040" max="12040" width="14.42578125" style="42" customWidth="1"/>
    <col min="12041" max="12041" width="11" style="42" customWidth="1"/>
    <col min="12042" max="12042" width="11.140625" style="42" customWidth="1"/>
    <col min="12043" max="12044" width="11.42578125" style="42" customWidth="1"/>
    <col min="12045" max="12045" width="11.140625" style="42" customWidth="1"/>
    <col min="12046" max="12046" width="13" style="42" customWidth="1"/>
    <col min="12047" max="12277" width="9.140625" style="42"/>
    <col min="12278" max="12278" width="5.28515625" style="42" customWidth="1"/>
    <col min="12279" max="12279" width="37.28515625" style="42" customWidth="1"/>
    <col min="12280" max="12283" width="14.42578125" style="42" customWidth="1"/>
    <col min="12284" max="12284" width="9.85546875" style="42" customWidth="1"/>
    <col min="12285" max="12286" width="16" style="42" customWidth="1"/>
    <col min="12287" max="12287" width="16.5703125" style="42" customWidth="1"/>
    <col min="12288" max="12288" width="12.140625" style="42" customWidth="1"/>
    <col min="12289" max="12289" width="11" style="42" customWidth="1"/>
    <col min="12290" max="12291" width="12.5703125" style="42" customWidth="1"/>
    <col min="12292" max="12292" width="9.140625" style="42"/>
    <col min="12293" max="12293" width="12.28515625" style="42" customWidth="1"/>
    <col min="12294" max="12294" width="14.85546875" style="42" customWidth="1"/>
    <col min="12295" max="12295" width="12.5703125" style="42" customWidth="1"/>
    <col min="12296" max="12296" width="14.42578125" style="42" customWidth="1"/>
    <col min="12297" max="12297" width="11" style="42" customWidth="1"/>
    <col min="12298" max="12298" width="11.140625" style="42" customWidth="1"/>
    <col min="12299" max="12300" width="11.42578125" style="42" customWidth="1"/>
    <col min="12301" max="12301" width="11.140625" style="42" customWidth="1"/>
    <col min="12302" max="12302" width="13" style="42" customWidth="1"/>
    <col min="12303" max="12533" width="9.140625" style="42"/>
    <col min="12534" max="12534" width="5.28515625" style="42" customWidth="1"/>
    <col min="12535" max="12535" width="37.28515625" style="42" customWidth="1"/>
    <col min="12536" max="12539" width="14.42578125" style="42" customWidth="1"/>
    <col min="12540" max="12540" width="9.85546875" style="42" customWidth="1"/>
    <col min="12541" max="12542" width="16" style="42" customWidth="1"/>
    <col min="12543" max="12543" width="16.5703125" style="42" customWidth="1"/>
    <col min="12544" max="12544" width="12.140625" style="42" customWidth="1"/>
    <col min="12545" max="12545" width="11" style="42" customWidth="1"/>
    <col min="12546" max="12547" width="12.5703125" style="42" customWidth="1"/>
    <col min="12548" max="12548" width="9.140625" style="42"/>
    <col min="12549" max="12549" width="12.28515625" style="42" customWidth="1"/>
    <col min="12550" max="12550" width="14.85546875" style="42" customWidth="1"/>
    <col min="12551" max="12551" width="12.5703125" style="42" customWidth="1"/>
    <col min="12552" max="12552" width="14.42578125" style="42" customWidth="1"/>
    <col min="12553" max="12553" width="11" style="42" customWidth="1"/>
    <col min="12554" max="12554" width="11.140625" style="42" customWidth="1"/>
    <col min="12555" max="12556" width="11.42578125" style="42" customWidth="1"/>
    <col min="12557" max="12557" width="11.140625" style="42" customWidth="1"/>
    <col min="12558" max="12558" width="13" style="42" customWidth="1"/>
    <col min="12559" max="12789" width="9.140625" style="42"/>
    <col min="12790" max="12790" width="5.28515625" style="42" customWidth="1"/>
    <col min="12791" max="12791" width="37.28515625" style="42" customWidth="1"/>
    <col min="12792" max="12795" width="14.42578125" style="42" customWidth="1"/>
    <col min="12796" max="12796" width="9.85546875" style="42" customWidth="1"/>
    <col min="12797" max="12798" width="16" style="42" customWidth="1"/>
    <col min="12799" max="12799" width="16.5703125" style="42" customWidth="1"/>
    <col min="12800" max="12800" width="12.140625" style="42" customWidth="1"/>
    <col min="12801" max="12801" width="11" style="42" customWidth="1"/>
    <col min="12802" max="12803" width="12.5703125" style="42" customWidth="1"/>
    <col min="12804" max="12804" width="9.140625" style="42"/>
    <col min="12805" max="12805" width="12.28515625" style="42" customWidth="1"/>
    <col min="12806" max="12806" width="14.85546875" style="42" customWidth="1"/>
    <col min="12807" max="12807" width="12.5703125" style="42" customWidth="1"/>
    <col min="12808" max="12808" width="14.42578125" style="42" customWidth="1"/>
    <col min="12809" max="12809" width="11" style="42" customWidth="1"/>
    <col min="12810" max="12810" width="11.140625" style="42" customWidth="1"/>
    <col min="12811" max="12812" width="11.42578125" style="42" customWidth="1"/>
    <col min="12813" max="12813" width="11.140625" style="42" customWidth="1"/>
    <col min="12814" max="12814" width="13" style="42" customWidth="1"/>
    <col min="12815" max="13045" width="9.140625" style="42"/>
    <col min="13046" max="13046" width="5.28515625" style="42" customWidth="1"/>
    <col min="13047" max="13047" width="37.28515625" style="42" customWidth="1"/>
    <col min="13048" max="13051" width="14.42578125" style="42" customWidth="1"/>
    <col min="13052" max="13052" width="9.85546875" style="42" customWidth="1"/>
    <col min="13053" max="13054" width="16" style="42" customWidth="1"/>
    <col min="13055" max="13055" width="16.5703125" style="42" customWidth="1"/>
    <col min="13056" max="13056" width="12.140625" style="42" customWidth="1"/>
    <col min="13057" max="13057" width="11" style="42" customWidth="1"/>
    <col min="13058" max="13059" width="12.5703125" style="42" customWidth="1"/>
    <col min="13060" max="13060" width="9.140625" style="42"/>
    <col min="13061" max="13061" width="12.28515625" style="42" customWidth="1"/>
    <col min="13062" max="13062" width="14.85546875" style="42" customWidth="1"/>
    <col min="13063" max="13063" width="12.5703125" style="42" customWidth="1"/>
    <col min="13064" max="13064" width="14.42578125" style="42" customWidth="1"/>
    <col min="13065" max="13065" width="11" style="42" customWidth="1"/>
    <col min="13066" max="13066" width="11.140625" style="42" customWidth="1"/>
    <col min="13067" max="13068" width="11.42578125" style="42" customWidth="1"/>
    <col min="13069" max="13069" width="11.140625" style="42" customWidth="1"/>
    <col min="13070" max="13070" width="13" style="42" customWidth="1"/>
    <col min="13071" max="13301" width="9.140625" style="42"/>
    <col min="13302" max="13302" width="5.28515625" style="42" customWidth="1"/>
    <col min="13303" max="13303" width="37.28515625" style="42" customWidth="1"/>
    <col min="13304" max="13307" width="14.42578125" style="42" customWidth="1"/>
    <col min="13308" max="13308" width="9.85546875" style="42" customWidth="1"/>
    <col min="13309" max="13310" width="16" style="42" customWidth="1"/>
    <col min="13311" max="13311" width="16.5703125" style="42" customWidth="1"/>
    <col min="13312" max="13312" width="12.140625" style="42" customWidth="1"/>
    <col min="13313" max="13313" width="11" style="42" customWidth="1"/>
    <col min="13314" max="13315" width="12.5703125" style="42" customWidth="1"/>
    <col min="13316" max="13316" width="9.140625" style="42"/>
    <col min="13317" max="13317" width="12.28515625" style="42" customWidth="1"/>
    <col min="13318" max="13318" width="14.85546875" style="42" customWidth="1"/>
    <col min="13319" max="13319" width="12.5703125" style="42" customWidth="1"/>
    <col min="13320" max="13320" width="14.42578125" style="42" customWidth="1"/>
    <col min="13321" max="13321" width="11" style="42" customWidth="1"/>
    <col min="13322" max="13322" width="11.140625" style="42" customWidth="1"/>
    <col min="13323" max="13324" width="11.42578125" style="42" customWidth="1"/>
    <col min="13325" max="13325" width="11.140625" style="42" customWidth="1"/>
    <col min="13326" max="13326" width="13" style="42" customWidth="1"/>
    <col min="13327" max="13557" width="9.140625" style="42"/>
    <col min="13558" max="13558" width="5.28515625" style="42" customWidth="1"/>
    <col min="13559" max="13559" width="37.28515625" style="42" customWidth="1"/>
    <col min="13560" max="13563" width="14.42578125" style="42" customWidth="1"/>
    <col min="13564" max="13564" width="9.85546875" style="42" customWidth="1"/>
    <col min="13565" max="13566" width="16" style="42" customWidth="1"/>
    <col min="13567" max="13567" width="16.5703125" style="42" customWidth="1"/>
    <col min="13568" max="13568" width="12.140625" style="42" customWidth="1"/>
    <col min="13569" max="13569" width="11" style="42" customWidth="1"/>
    <col min="13570" max="13571" width="12.5703125" style="42" customWidth="1"/>
    <col min="13572" max="13572" width="9.140625" style="42"/>
    <col min="13573" max="13573" width="12.28515625" style="42" customWidth="1"/>
    <col min="13574" max="13574" width="14.85546875" style="42" customWidth="1"/>
    <col min="13575" max="13575" width="12.5703125" style="42" customWidth="1"/>
    <col min="13576" max="13576" width="14.42578125" style="42" customWidth="1"/>
    <col min="13577" max="13577" width="11" style="42" customWidth="1"/>
    <col min="13578" max="13578" width="11.140625" style="42" customWidth="1"/>
    <col min="13579" max="13580" width="11.42578125" style="42" customWidth="1"/>
    <col min="13581" max="13581" width="11.140625" style="42" customWidth="1"/>
    <col min="13582" max="13582" width="13" style="42" customWidth="1"/>
    <col min="13583" max="13813" width="9.140625" style="42"/>
    <col min="13814" max="13814" width="5.28515625" style="42" customWidth="1"/>
    <col min="13815" max="13815" width="37.28515625" style="42" customWidth="1"/>
    <col min="13816" max="13819" width="14.42578125" style="42" customWidth="1"/>
    <col min="13820" max="13820" width="9.85546875" style="42" customWidth="1"/>
    <col min="13821" max="13822" width="16" style="42" customWidth="1"/>
    <col min="13823" max="13823" width="16.5703125" style="42" customWidth="1"/>
    <col min="13824" max="13824" width="12.140625" style="42" customWidth="1"/>
    <col min="13825" max="13825" width="11" style="42" customWidth="1"/>
    <col min="13826" max="13827" width="12.5703125" style="42" customWidth="1"/>
    <col min="13828" max="13828" width="9.140625" style="42"/>
    <col min="13829" max="13829" width="12.28515625" style="42" customWidth="1"/>
    <col min="13830" max="13830" width="14.85546875" style="42" customWidth="1"/>
    <col min="13831" max="13831" width="12.5703125" style="42" customWidth="1"/>
    <col min="13832" max="13832" width="14.42578125" style="42" customWidth="1"/>
    <col min="13833" max="13833" width="11" style="42" customWidth="1"/>
    <col min="13834" max="13834" width="11.140625" style="42" customWidth="1"/>
    <col min="13835" max="13836" width="11.42578125" style="42" customWidth="1"/>
    <col min="13837" max="13837" width="11.140625" style="42" customWidth="1"/>
    <col min="13838" max="13838" width="13" style="42" customWidth="1"/>
    <col min="13839" max="14069" width="9.140625" style="42"/>
    <col min="14070" max="14070" width="5.28515625" style="42" customWidth="1"/>
    <col min="14071" max="14071" width="37.28515625" style="42" customWidth="1"/>
    <col min="14072" max="14075" width="14.42578125" style="42" customWidth="1"/>
    <col min="14076" max="14076" width="9.85546875" style="42" customWidth="1"/>
    <col min="14077" max="14078" width="16" style="42" customWidth="1"/>
    <col min="14079" max="14079" width="16.5703125" style="42" customWidth="1"/>
    <col min="14080" max="14080" width="12.140625" style="42" customWidth="1"/>
    <col min="14081" max="14081" width="11" style="42" customWidth="1"/>
    <col min="14082" max="14083" width="12.5703125" style="42" customWidth="1"/>
    <col min="14084" max="14084" width="9.140625" style="42"/>
    <col min="14085" max="14085" width="12.28515625" style="42" customWidth="1"/>
    <col min="14086" max="14086" width="14.85546875" style="42" customWidth="1"/>
    <col min="14087" max="14087" width="12.5703125" style="42" customWidth="1"/>
    <col min="14088" max="14088" width="14.42578125" style="42" customWidth="1"/>
    <col min="14089" max="14089" width="11" style="42" customWidth="1"/>
    <col min="14090" max="14090" width="11.140625" style="42" customWidth="1"/>
    <col min="14091" max="14092" width="11.42578125" style="42" customWidth="1"/>
    <col min="14093" max="14093" width="11.140625" style="42" customWidth="1"/>
    <col min="14094" max="14094" width="13" style="42" customWidth="1"/>
    <col min="14095" max="14325" width="9.140625" style="42"/>
    <col min="14326" max="14326" width="5.28515625" style="42" customWidth="1"/>
    <col min="14327" max="14327" width="37.28515625" style="42" customWidth="1"/>
    <col min="14328" max="14331" width="14.42578125" style="42" customWidth="1"/>
    <col min="14332" max="14332" width="9.85546875" style="42" customWidth="1"/>
    <col min="14333" max="14334" width="16" style="42" customWidth="1"/>
    <col min="14335" max="14335" width="16.5703125" style="42" customWidth="1"/>
    <col min="14336" max="14336" width="12.140625" style="42" customWidth="1"/>
    <col min="14337" max="14337" width="11" style="42" customWidth="1"/>
    <col min="14338" max="14339" width="12.5703125" style="42" customWidth="1"/>
    <col min="14340" max="14340" width="9.140625" style="42"/>
    <col min="14341" max="14341" width="12.28515625" style="42" customWidth="1"/>
    <col min="14342" max="14342" width="14.85546875" style="42" customWidth="1"/>
    <col min="14343" max="14343" width="12.5703125" style="42" customWidth="1"/>
    <col min="14344" max="14344" width="14.42578125" style="42" customWidth="1"/>
    <col min="14345" max="14345" width="11" style="42" customWidth="1"/>
    <col min="14346" max="14346" width="11.140625" style="42" customWidth="1"/>
    <col min="14347" max="14348" width="11.42578125" style="42" customWidth="1"/>
    <col min="14349" max="14349" width="11.140625" style="42" customWidth="1"/>
    <col min="14350" max="14350" width="13" style="42" customWidth="1"/>
    <col min="14351" max="14581" width="9.140625" style="42"/>
    <col min="14582" max="14582" width="5.28515625" style="42" customWidth="1"/>
    <col min="14583" max="14583" width="37.28515625" style="42" customWidth="1"/>
    <col min="14584" max="14587" width="14.42578125" style="42" customWidth="1"/>
    <col min="14588" max="14588" width="9.85546875" style="42" customWidth="1"/>
    <col min="14589" max="14590" width="16" style="42" customWidth="1"/>
    <col min="14591" max="14591" width="16.5703125" style="42" customWidth="1"/>
    <col min="14592" max="14592" width="12.140625" style="42" customWidth="1"/>
    <col min="14593" max="14593" width="11" style="42" customWidth="1"/>
    <col min="14594" max="14595" width="12.5703125" style="42" customWidth="1"/>
    <col min="14596" max="14596" width="9.140625" style="42"/>
    <col min="14597" max="14597" width="12.28515625" style="42" customWidth="1"/>
    <col min="14598" max="14598" width="14.85546875" style="42" customWidth="1"/>
    <col min="14599" max="14599" width="12.5703125" style="42" customWidth="1"/>
    <col min="14600" max="14600" width="14.42578125" style="42" customWidth="1"/>
    <col min="14601" max="14601" width="11" style="42" customWidth="1"/>
    <col min="14602" max="14602" width="11.140625" style="42" customWidth="1"/>
    <col min="14603" max="14604" width="11.42578125" style="42" customWidth="1"/>
    <col min="14605" max="14605" width="11.140625" style="42" customWidth="1"/>
    <col min="14606" max="14606" width="13" style="42" customWidth="1"/>
    <col min="14607" max="14837" width="9.140625" style="42"/>
    <col min="14838" max="14838" width="5.28515625" style="42" customWidth="1"/>
    <col min="14839" max="14839" width="37.28515625" style="42" customWidth="1"/>
    <col min="14840" max="14843" width="14.42578125" style="42" customWidth="1"/>
    <col min="14844" max="14844" width="9.85546875" style="42" customWidth="1"/>
    <col min="14845" max="14846" width="16" style="42" customWidth="1"/>
    <col min="14847" max="14847" width="16.5703125" style="42" customWidth="1"/>
    <col min="14848" max="14848" width="12.140625" style="42" customWidth="1"/>
    <col min="14849" max="14849" width="11" style="42" customWidth="1"/>
    <col min="14850" max="14851" width="12.5703125" style="42" customWidth="1"/>
    <col min="14852" max="14852" width="9.140625" style="42"/>
    <col min="14853" max="14853" width="12.28515625" style="42" customWidth="1"/>
    <col min="14854" max="14854" width="14.85546875" style="42" customWidth="1"/>
    <col min="14855" max="14855" width="12.5703125" style="42" customWidth="1"/>
    <col min="14856" max="14856" width="14.42578125" style="42" customWidth="1"/>
    <col min="14857" max="14857" width="11" style="42" customWidth="1"/>
    <col min="14858" max="14858" width="11.140625" style="42" customWidth="1"/>
    <col min="14859" max="14860" width="11.42578125" style="42" customWidth="1"/>
    <col min="14861" max="14861" width="11.140625" style="42" customWidth="1"/>
    <col min="14862" max="14862" width="13" style="42" customWidth="1"/>
    <col min="14863" max="15093" width="9.140625" style="42"/>
    <col min="15094" max="15094" width="5.28515625" style="42" customWidth="1"/>
    <col min="15095" max="15095" width="37.28515625" style="42" customWidth="1"/>
    <col min="15096" max="15099" width="14.42578125" style="42" customWidth="1"/>
    <col min="15100" max="15100" width="9.85546875" style="42" customWidth="1"/>
    <col min="15101" max="15102" width="16" style="42" customWidth="1"/>
    <col min="15103" max="15103" width="16.5703125" style="42" customWidth="1"/>
    <col min="15104" max="15104" width="12.140625" style="42" customWidth="1"/>
    <col min="15105" max="15105" width="11" style="42" customWidth="1"/>
    <col min="15106" max="15107" width="12.5703125" style="42" customWidth="1"/>
    <col min="15108" max="15108" width="9.140625" style="42"/>
    <col min="15109" max="15109" width="12.28515625" style="42" customWidth="1"/>
    <col min="15110" max="15110" width="14.85546875" style="42" customWidth="1"/>
    <col min="15111" max="15111" width="12.5703125" style="42" customWidth="1"/>
    <col min="15112" max="15112" width="14.42578125" style="42" customWidth="1"/>
    <col min="15113" max="15113" width="11" style="42" customWidth="1"/>
    <col min="15114" max="15114" width="11.140625" style="42" customWidth="1"/>
    <col min="15115" max="15116" width="11.42578125" style="42" customWidth="1"/>
    <col min="15117" max="15117" width="11.140625" style="42" customWidth="1"/>
    <col min="15118" max="15118" width="13" style="42" customWidth="1"/>
    <col min="15119" max="15349" width="9.140625" style="42"/>
    <col min="15350" max="15350" width="5.28515625" style="42" customWidth="1"/>
    <col min="15351" max="15351" width="37.28515625" style="42" customWidth="1"/>
    <col min="15352" max="15355" width="14.42578125" style="42" customWidth="1"/>
    <col min="15356" max="15356" width="9.85546875" style="42" customWidth="1"/>
    <col min="15357" max="15358" width="16" style="42" customWidth="1"/>
    <col min="15359" max="15359" width="16.5703125" style="42" customWidth="1"/>
    <col min="15360" max="15360" width="12.140625" style="42" customWidth="1"/>
    <col min="15361" max="15361" width="11" style="42" customWidth="1"/>
    <col min="15362" max="15363" width="12.5703125" style="42" customWidth="1"/>
    <col min="15364" max="15364" width="9.140625" style="42"/>
    <col min="15365" max="15365" width="12.28515625" style="42" customWidth="1"/>
    <col min="15366" max="15366" width="14.85546875" style="42" customWidth="1"/>
    <col min="15367" max="15367" width="12.5703125" style="42" customWidth="1"/>
    <col min="15368" max="15368" width="14.42578125" style="42" customWidth="1"/>
    <col min="15369" max="15369" width="11" style="42" customWidth="1"/>
    <col min="15370" max="15370" width="11.140625" style="42" customWidth="1"/>
    <col min="15371" max="15372" width="11.42578125" style="42" customWidth="1"/>
    <col min="15373" max="15373" width="11.140625" style="42" customWidth="1"/>
    <col min="15374" max="15374" width="13" style="42" customWidth="1"/>
    <col min="15375" max="15605" width="9.140625" style="42"/>
    <col min="15606" max="15606" width="5.28515625" style="42" customWidth="1"/>
    <col min="15607" max="15607" width="37.28515625" style="42" customWidth="1"/>
    <col min="15608" max="15611" width="14.42578125" style="42" customWidth="1"/>
    <col min="15612" max="15612" width="9.85546875" style="42" customWidth="1"/>
    <col min="15613" max="15614" width="16" style="42" customWidth="1"/>
    <col min="15615" max="15615" width="16.5703125" style="42" customWidth="1"/>
    <col min="15616" max="15616" width="12.140625" style="42" customWidth="1"/>
    <col min="15617" max="15617" width="11" style="42" customWidth="1"/>
    <col min="15618" max="15619" width="12.5703125" style="42" customWidth="1"/>
    <col min="15620" max="15620" width="9.140625" style="42"/>
    <col min="15621" max="15621" width="12.28515625" style="42" customWidth="1"/>
    <col min="15622" max="15622" width="14.85546875" style="42" customWidth="1"/>
    <col min="15623" max="15623" width="12.5703125" style="42" customWidth="1"/>
    <col min="15624" max="15624" width="14.42578125" style="42" customWidth="1"/>
    <col min="15625" max="15625" width="11" style="42" customWidth="1"/>
    <col min="15626" max="15626" width="11.140625" style="42" customWidth="1"/>
    <col min="15627" max="15628" width="11.42578125" style="42" customWidth="1"/>
    <col min="15629" max="15629" width="11.140625" style="42" customWidth="1"/>
    <col min="15630" max="15630" width="13" style="42" customWidth="1"/>
    <col min="15631" max="15861" width="9.140625" style="42"/>
    <col min="15862" max="15862" width="5.28515625" style="42" customWidth="1"/>
    <col min="15863" max="15863" width="37.28515625" style="42" customWidth="1"/>
    <col min="15864" max="15867" width="14.42578125" style="42" customWidth="1"/>
    <col min="15868" max="15868" width="9.85546875" style="42" customWidth="1"/>
    <col min="15869" max="15870" width="16" style="42" customWidth="1"/>
    <col min="15871" max="15871" width="16.5703125" style="42" customWidth="1"/>
    <col min="15872" max="15872" width="12.140625" style="42" customWidth="1"/>
    <col min="15873" max="15873" width="11" style="42" customWidth="1"/>
    <col min="15874" max="15875" width="12.5703125" style="42" customWidth="1"/>
    <col min="15876" max="15876" width="9.140625" style="42"/>
    <col min="15877" max="15877" width="12.28515625" style="42" customWidth="1"/>
    <col min="15878" max="15878" width="14.85546875" style="42" customWidth="1"/>
    <col min="15879" max="15879" width="12.5703125" style="42" customWidth="1"/>
    <col min="15880" max="15880" width="14.42578125" style="42" customWidth="1"/>
    <col min="15881" max="15881" width="11" style="42" customWidth="1"/>
    <col min="15882" max="15882" width="11.140625" style="42" customWidth="1"/>
    <col min="15883" max="15884" width="11.42578125" style="42" customWidth="1"/>
    <col min="15885" max="15885" width="11.140625" style="42" customWidth="1"/>
    <col min="15886" max="15886" width="13" style="42" customWidth="1"/>
    <col min="15887" max="16117" width="9.140625" style="42"/>
    <col min="16118" max="16118" width="5.28515625" style="42" customWidth="1"/>
    <col min="16119" max="16119" width="37.28515625" style="42" customWidth="1"/>
    <col min="16120" max="16123" width="14.42578125" style="42" customWidth="1"/>
    <col min="16124" max="16124" width="9.85546875" style="42" customWidth="1"/>
    <col min="16125" max="16126" width="16" style="42" customWidth="1"/>
    <col min="16127" max="16127" width="16.5703125" style="42" customWidth="1"/>
    <col min="16128" max="16128" width="12.140625" style="42" customWidth="1"/>
    <col min="16129" max="16129" width="11" style="42" customWidth="1"/>
    <col min="16130" max="16131" width="12.5703125" style="42" customWidth="1"/>
    <col min="16132" max="16132" width="9.140625" style="42"/>
    <col min="16133" max="16133" width="12.28515625" style="42" customWidth="1"/>
    <col min="16134" max="16134" width="14.85546875" style="42" customWidth="1"/>
    <col min="16135" max="16135" width="12.5703125" style="42" customWidth="1"/>
    <col min="16136" max="16136" width="14.42578125" style="42" customWidth="1"/>
    <col min="16137" max="16137" width="11" style="42" customWidth="1"/>
    <col min="16138" max="16138" width="11.140625" style="42" customWidth="1"/>
    <col min="16139" max="16140" width="11.42578125" style="42" customWidth="1"/>
    <col min="16141" max="16141" width="11.140625" style="42" customWidth="1"/>
    <col min="16142" max="16142" width="13" style="42" customWidth="1"/>
    <col min="16143" max="16384" width="9.140625" style="42"/>
  </cols>
  <sheetData>
    <row r="1" spans="1:14" ht="15" customHeight="1" x14ac:dyDescent="0.25">
      <c r="A1" s="844"/>
      <c r="B1" s="844"/>
      <c r="C1" s="844"/>
      <c r="D1" s="844"/>
      <c r="E1" s="845"/>
      <c r="F1" s="845"/>
    </row>
    <row r="2" spans="1:14" ht="15" customHeight="1" x14ac:dyDescent="0.25">
      <c r="A2" s="833" t="s">
        <v>15</v>
      </c>
      <c r="B2" s="833" t="s">
        <v>126</v>
      </c>
      <c r="C2" s="846" t="s">
        <v>140</v>
      </c>
      <c r="D2" s="847" t="s">
        <v>141</v>
      </c>
      <c r="E2" s="53"/>
      <c r="F2" s="841" t="s">
        <v>142</v>
      </c>
      <c r="G2" s="839" t="s">
        <v>145</v>
      </c>
      <c r="H2" s="840"/>
      <c r="I2" s="840"/>
      <c r="J2" s="840"/>
      <c r="K2" s="840"/>
      <c r="L2" s="840"/>
      <c r="M2" s="840"/>
      <c r="N2" s="840"/>
    </row>
    <row r="3" spans="1:14" ht="45" customHeight="1" x14ac:dyDescent="0.25">
      <c r="A3" s="833"/>
      <c r="B3" s="833"/>
      <c r="C3" s="846"/>
      <c r="D3" s="847"/>
      <c r="E3" s="841" t="s">
        <v>143</v>
      </c>
      <c r="F3" s="842"/>
      <c r="G3" s="833" t="s">
        <v>129</v>
      </c>
      <c r="H3" s="833"/>
      <c r="I3" s="833"/>
      <c r="J3" s="833"/>
      <c r="K3" s="833" t="s">
        <v>130</v>
      </c>
      <c r="L3" s="833" t="s">
        <v>131</v>
      </c>
      <c r="M3" s="669" t="s">
        <v>132</v>
      </c>
      <c r="N3" s="669" t="s">
        <v>133</v>
      </c>
    </row>
    <row r="4" spans="1:14" ht="45" customHeight="1" x14ac:dyDescent="0.25">
      <c r="A4" s="833"/>
      <c r="B4" s="833"/>
      <c r="C4" s="846"/>
      <c r="D4" s="847"/>
      <c r="E4" s="842"/>
      <c r="F4" s="842"/>
      <c r="G4" s="833" t="s">
        <v>144</v>
      </c>
      <c r="H4" s="669" t="s">
        <v>136</v>
      </c>
      <c r="I4" s="669" t="s">
        <v>137</v>
      </c>
      <c r="J4" s="833" t="s">
        <v>138</v>
      </c>
      <c r="K4" s="833"/>
      <c r="L4" s="833"/>
      <c r="M4" s="669"/>
      <c r="N4" s="669"/>
    </row>
    <row r="5" spans="1:14" ht="89.25" customHeight="1" x14ac:dyDescent="0.25">
      <c r="A5" s="833"/>
      <c r="B5" s="833"/>
      <c r="C5" s="846"/>
      <c r="D5" s="847"/>
      <c r="E5" s="843"/>
      <c r="F5" s="843"/>
      <c r="G5" s="833"/>
      <c r="H5" s="669"/>
      <c r="I5" s="669"/>
      <c r="J5" s="833"/>
      <c r="K5" s="833"/>
      <c r="L5" s="833"/>
      <c r="M5" s="669"/>
      <c r="N5" s="669"/>
    </row>
    <row r="6" spans="1:14" s="48" customFormat="1" ht="17.25" customHeight="1" x14ac:dyDescent="0.25">
      <c r="A6" s="834">
        <v>1</v>
      </c>
      <c r="B6" s="837"/>
      <c r="C6" s="54">
        <v>2</v>
      </c>
      <c r="D6" s="55">
        <v>1</v>
      </c>
      <c r="E6" s="56">
        <v>14</v>
      </c>
      <c r="F6" s="57">
        <v>1500</v>
      </c>
      <c r="G6" s="45">
        <f>F6/E6*D6*C6</f>
        <v>214.28571428571428</v>
      </c>
      <c r="H6" s="46">
        <v>0.8</v>
      </c>
      <c r="I6" s="46">
        <v>1</v>
      </c>
      <c r="J6" s="45">
        <f>G6*2.8</f>
        <v>599.99999999999989</v>
      </c>
      <c r="K6" s="44">
        <v>12</v>
      </c>
      <c r="L6" s="45">
        <f>J6*K6</f>
        <v>7199.9999999999982</v>
      </c>
      <c r="M6" s="47">
        <v>0.30199999999999999</v>
      </c>
      <c r="N6" s="45">
        <f>L6*M6</f>
        <v>2174.3999999999992</v>
      </c>
    </row>
    <row r="7" spans="1:14" s="48" customFormat="1" ht="17.25" customHeight="1" x14ac:dyDescent="0.25">
      <c r="A7" s="835"/>
      <c r="B7" s="838"/>
      <c r="C7" s="54">
        <v>2</v>
      </c>
      <c r="D7" s="55">
        <v>2</v>
      </c>
      <c r="E7" s="58">
        <v>14</v>
      </c>
      <c r="F7" s="59">
        <f>F6</f>
        <v>1500</v>
      </c>
      <c r="G7" s="45">
        <f t="shared" ref="G7:G19" si="0">F7/E7*D7*C7</f>
        <v>428.57142857142856</v>
      </c>
      <c r="H7" s="49">
        <f>H6</f>
        <v>0.8</v>
      </c>
      <c r="I7" s="49">
        <f>I6</f>
        <v>1</v>
      </c>
      <c r="J7" s="45">
        <f t="shared" ref="J7:J19" si="1">G7*2.8</f>
        <v>1199.9999999999998</v>
      </c>
      <c r="K7" s="43">
        <f>K6</f>
        <v>12</v>
      </c>
      <c r="L7" s="45">
        <f t="shared" ref="L7:L19" si="2">J7*K7</f>
        <v>14399.999999999996</v>
      </c>
      <c r="M7" s="50">
        <f>M6</f>
        <v>0.30199999999999999</v>
      </c>
      <c r="N7" s="45">
        <f t="shared" ref="N7:N18" si="3">L7*M7</f>
        <v>4348.7999999999984</v>
      </c>
    </row>
    <row r="8" spans="1:14" s="48" customFormat="1" ht="17.25" customHeight="1" x14ac:dyDescent="0.25">
      <c r="A8" s="835"/>
      <c r="B8" s="838"/>
      <c r="C8" s="54">
        <v>1</v>
      </c>
      <c r="D8" s="55">
        <v>3</v>
      </c>
      <c r="E8" s="58">
        <v>14</v>
      </c>
      <c r="F8" s="59">
        <f t="shared" ref="F8:F19" si="4">F7</f>
        <v>1500</v>
      </c>
      <c r="G8" s="45">
        <f t="shared" si="0"/>
        <v>321.42857142857144</v>
      </c>
      <c r="H8" s="49">
        <f t="shared" ref="H8:I19" si="5">H7</f>
        <v>0.8</v>
      </c>
      <c r="I8" s="49">
        <f t="shared" si="5"/>
        <v>1</v>
      </c>
      <c r="J8" s="45">
        <f t="shared" si="1"/>
        <v>900</v>
      </c>
      <c r="K8" s="43">
        <f t="shared" ref="K8:K19" si="6">K7</f>
        <v>12</v>
      </c>
      <c r="L8" s="45">
        <f t="shared" si="2"/>
        <v>10800</v>
      </c>
      <c r="M8" s="50">
        <f t="shared" ref="M8:M19" si="7">M7</f>
        <v>0.30199999999999999</v>
      </c>
      <c r="N8" s="45">
        <f t="shared" si="3"/>
        <v>3261.6</v>
      </c>
    </row>
    <row r="9" spans="1:14" s="48" customFormat="1" ht="17.25" customHeight="1" x14ac:dyDescent="0.25">
      <c r="A9" s="835"/>
      <c r="B9" s="838"/>
      <c r="C9" s="60"/>
      <c r="D9" s="55">
        <v>4</v>
      </c>
      <c r="E9" s="58">
        <v>14</v>
      </c>
      <c r="F9" s="59">
        <f t="shared" si="4"/>
        <v>1500</v>
      </c>
      <c r="G9" s="45">
        <f t="shared" si="0"/>
        <v>0</v>
      </c>
      <c r="H9" s="49">
        <f t="shared" si="5"/>
        <v>0.8</v>
      </c>
      <c r="I9" s="49">
        <f t="shared" si="5"/>
        <v>1</v>
      </c>
      <c r="J9" s="45">
        <f t="shared" si="1"/>
        <v>0</v>
      </c>
      <c r="K9" s="43">
        <f t="shared" si="6"/>
        <v>12</v>
      </c>
      <c r="L9" s="45">
        <f t="shared" si="2"/>
        <v>0</v>
      </c>
      <c r="M9" s="50">
        <f t="shared" si="7"/>
        <v>0.30199999999999999</v>
      </c>
      <c r="N9" s="45">
        <f t="shared" si="3"/>
        <v>0</v>
      </c>
    </row>
    <row r="10" spans="1:14" s="48" customFormat="1" ht="17.25" customHeight="1" x14ac:dyDescent="0.25">
      <c r="A10" s="835"/>
      <c r="B10" s="838"/>
      <c r="C10" s="60">
        <v>1</v>
      </c>
      <c r="D10" s="55">
        <v>5</v>
      </c>
      <c r="E10" s="58">
        <v>14</v>
      </c>
      <c r="F10" s="59">
        <f t="shared" si="4"/>
        <v>1500</v>
      </c>
      <c r="G10" s="45">
        <f t="shared" si="0"/>
        <v>535.71428571428567</v>
      </c>
      <c r="H10" s="49">
        <f t="shared" si="5"/>
        <v>0.8</v>
      </c>
      <c r="I10" s="49">
        <f t="shared" si="5"/>
        <v>1</v>
      </c>
      <c r="J10" s="45">
        <f t="shared" si="1"/>
        <v>1499.9999999999998</v>
      </c>
      <c r="K10" s="43">
        <f t="shared" si="6"/>
        <v>12</v>
      </c>
      <c r="L10" s="45">
        <f t="shared" si="2"/>
        <v>17999.999999999996</v>
      </c>
      <c r="M10" s="50">
        <f t="shared" si="7"/>
        <v>0.30199999999999999</v>
      </c>
      <c r="N10" s="45">
        <f t="shared" si="3"/>
        <v>5435.9999999999991</v>
      </c>
    </row>
    <row r="11" spans="1:14" s="48" customFormat="1" ht="17.25" customHeight="1" x14ac:dyDescent="0.25">
      <c r="A11" s="835"/>
      <c r="B11" s="838"/>
      <c r="C11" s="98"/>
      <c r="D11" s="55">
        <v>6</v>
      </c>
      <c r="E11" s="58">
        <v>14</v>
      </c>
      <c r="F11" s="59">
        <f t="shared" si="4"/>
        <v>1500</v>
      </c>
      <c r="G11" s="45">
        <f t="shared" si="0"/>
        <v>0</v>
      </c>
      <c r="H11" s="49">
        <f t="shared" si="5"/>
        <v>0.8</v>
      </c>
      <c r="I11" s="49">
        <f t="shared" si="5"/>
        <v>1</v>
      </c>
      <c r="J11" s="45">
        <f t="shared" si="1"/>
        <v>0</v>
      </c>
      <c r="K11" s="43">
        <f t="shared" si="6"/>
        <v>12</v>
      </c>
      <c r="L11" s="45">
        <f t="shared" si="2"/>
        <v>0</v>
      </c>
      <c r="M11" s="50">
        <f t="shared" si="7"/>
        <v>0.30199999999999999</v>
      </c>
      <c r="N11" s="45">
        <f t="shared" si="3"/>
        <v>0</v>
      </c>
    </row>
    <row r="12" spans="1:14" s="48" customFormat="1" ht="17.25" customHeight="1" x14ac:dyDescent="0.25">
      <c r="A12" s="835"/>
      <c r="B12" s="838"/>
      <c r="C12" s="98"/>
      <c r="D12" s="55">
        <v>7</v>
      </c>
      <c r="E12" s="58">
        <v>14</v>
      </c>
      <c r="F12" s="59">
        <f t="shared" si="4"/>
        <v>1500</v>
      </c>
      <c r="G12" s="45">
        <f t="shared" si="0"/>
        <v>0</v>
      </c>
      <c r="H12" s="49">
        <f t="shared" si="5"/>
        <v>0.8</v>
      </c>
      <c r="I12" s="49">
        <f t="shared" si="5"/>
        <v>1</v>
      </c>
      <c r="J12" s="45">
        <f t="shared" si="1"/>
        <v>0</v>
      </c>
      <c r="K12" s="43">
        <f t="shared" si="6"/>
        <v>12</v>
      </c>
      <c r="L12" s="45">
        <f t="shared" si="2"/>
        <v>0</v>
      </c>
      <c r="M12" s="50">
        <f t="shared" si="7"/>
        <v>0.30199999999999999</v>
      </c>
      <c r="N12" s="45">
        <f t="shared" si="3"/>
        <v>0</v>
      </c>
    </row>
    <row r="13" spans="1:14" s="48" customFormat="1" ht="17.25" customHeight="1" x14ac:dyDescent="0.25">
      <c r="A13" s="835"/>
      <c r="B13" s="838"/>
      <c r="C13" s="54">
        <v>1</v>
      </c>
      <c r="D13" s="55">
        <v>8</v>
      </c>
      <c r="E13" s="58">
        <v>14</v>
      </c>
      <c r="F13" s="59">
        <f t="shared" si="4"/>
        <v>1500</v>
      </c>
      <c r="G13" s="45">
        <f t="shared" si="0"/>
        <v>857.14285714285711</v>
      </c>
      <c r="H13" s="49">
        <f t="shared" si="5"/>
        <v>0.8</v>
      </c>
      <c r="I13" s="49">
        <f t="shared" si="5"/>
        <v>1</v>
      </c>
      <c r="J13" s="45">
        <f t="shared" si="1"/>
        <v>2399.9999999999995</v>
      </c>
      <c r="K13" s="43">
        <f t="shared" si="6"/>
        <v>12</v>
      </c>
      <c r="L13" s="45">
        <f t="shared" si="2"/>
        <v>28799.999999999993</v>
      </c>
      <c r="M13" s="50">
        <f t="shared" si="7"/>
        <v>0.30199999999999999</v>
      </c>
      <c r="N13" s="45">
        <f t="shared" si="3"/>
        <v>8697.5999999999967</v>
      </c>
    </row>
    <row r="14" spans="1:14" s="48" customFormat="1" ht="17.25" customHeight="1" x14ac:dyDescent="0.25">
      <c r="A14" s="835"/>
      <c r="B14" s="838"/>
      <c r="C14" s="98"/>
      <c r="D14" s="55">
        <v>9</v>
      </c>
      <c r="E14" s="58">
        <v>14</v>
      </c>
      <c r="F14" s="59">
        <f t="shared" si="4"/>
        <v>1500</v>
      </c>
      <c r="G14" s="45">
        <f t="shared" si="0"/>
        <v>0</v>
      </c>
      <c r="H14" s="49">
        <f t="shared" si="5"/>
        <v>0.8</v>
      </c>
      <c r="I14" s="49">
        <f t="shared" si="5"/>
        <v>1</v>
      </c>
      <c r="J14" s="45">
        <f t="shared" si="1"/>
        <v>0</v>
      </c>
      <c r="K14" s="43">
        <f t="shared" si="6"/>
        <v>12</v>
      </c>
      <c r="L14" s="45">
        <f t="shared" si="2"/>
        <v>0</v>
      </c>
      <c r="M14" s="50">
        <f t="shared" si="7"/>
        <v>0.30199999999999999</v>
      </c>
      <c r="N14" s="45">
        <f t="shared" si="3"/>
        <v>0</v>
      </c>
    </row>
    <row r="15" spans="1:14" s="48" customFormat="1" ht="17.25" customHeight="1" x14ac:dyDescent="0.25">
      <c r="A15" s="835"/>
      <c r="B15" s="838"/>
      <c r="C15" s="98"/>
      <c r="D15" s="55">
        <v>10</v>
      </c>
      <c r="E15" s="58">
        <v>14</v>
      </c>
      <c r="F15" s="59">
        <f t="shared" si="4"/>
        <v>1500</v>
      </c>
      <c r="G15" s="45">
        <f t="shared" si="0"/>
        <v>0</v>
      </c>
      <c r="H15" s="49">
        <f t="shared" si="5"/>
        <v>0.8</v>
      </c>
      <c r="I15" s="49">
        <f t="shared" si="5"/>
        <v>1</v>
      </c>
      <c r="J15" s="45">
        <f t="shared" si="1"/>
        <v>0</v>
      </c>
      <c r="K15" s="43">
        <f t="shared" si="6"/>
        <v>12</v>
      </c>
      <c r="L15" s="45">
        <f t="shared" si="2"/>
        <v>0</v>
      </c>
      <c r="M15" s="50">
        <f t="shared" si="7"/>
        <v>0.30199999999999999</v>
      </c>
      <c r="N15" s="45">
        <f t="shared" si="3"/>
        <v>0</v>
      </c>
    </row>
    <row r="16" spans="1:14" s="48" customFormat="1" ht="17.25" customHeight="1" x14ac:dyDescent="0.25">
      <c r="A16" s="835"/>
      <c r="B16" s="838"/>
      <c r="C16" s="54"/>
      <c r="D16" s="55">
        <v>11</v>
      </c>
      <c r="E16" s="58">
        <v>14</v>
      </c>
      <c r="F16" s="59">
        <f t="shared" si="4"/>
        <v>1500</v>
      </c>
      <c r="G16" s="45">
        <f t="shared" si="0"/>
        <v>0</v>
      </c>
      <c r="H16" s="49">
        <f t="shared" si="5"/>
        <v>0.8</v>
      </c>
      <c r="I16" s="49">
        <f t="shared" si="5"/>
        <v>1</v>
      </c>
      <c r="J16" s="45">
        <f t="shared" si="1"/>
        <v>0</v>
      </c>
      <c r="K16" s="43">
        <f t="shared" si="6"/>
        <v>12</v>
      </c>
      <c r="L16" s="45">
        <f t="shared" si="2"/>
        <v>0</v>
      </c>
      <c r="M16" s="50">
        <f t="shared" si="7"/>
        <v>0.30199999999999999</v>
      </c>
      <c r="N16" s="45">
        <f t="shared" si="3"/>
        <v>0</v>
      </c>
    </row>
    <row r="17" spans="1:14" s="48" customFormat="1" ht="17.25" customHeight="1" x14ac:dyDescent="0.25">
      <c r="A17" s="835"/>
      <c r="B17" s="838"/>
      <c r="C17" s="54"/>
      <c r="D17" s="55">
        <v>12</v>
      </c>
      <c r="E17" s="58">
        <v>14</v>
      </c>
      <c r="F17" s="59">
        <f t="shared" si="4"/>
        <v>1500</v>
      </c>
      <c r="G17" s="45">
        <f t="shared" si="0"/>
        <v>0</v>
      </c>
      <c r="H17" s="49">
        <f t="shared" si="5"/>
        <v>0.8</v>
      </c>
      <c r="I17" s="49">
        <f t="shared" si="5"/>
        <v>1</v>
      </c>
      <c r="J17" s="45">
        <f t="shared" si="1"/>
        <v>0</v>
      </c>
      <c r="K17" s="43">
        <f t="shared" si="6"/>
        <v>12</v>
      </c>
      <c r="L17" s="45">
        <f t="shared" si="2"/>
        <v>0</v>
      </c>
      <c r="M17" s="50">
        <f t="shared" si="7"/>
        <v>0.30199999999999999</v>
      </c>
      <c r="N17" s="45">
        <f t="shared" si="3"/>
        <v>0</v>
      </c>
    </row>
    <row r="18" spans="1:14" s="48" customFormat="1" ht="17.25" customHeight="1" x14ac:dyDescent="0.25">
      <c r="A18" s="835"/>
      <c r="B18" s="838"/>
      <c r="C18" s="54"/>
      <c r="D18" s="55">
        <v>13</v>
      </c>
      <c r="E18" s="58">
        <v>14</v>
      </c>
      <c r="F18" s="59">
        <f t="shared" si="4"/>
        <v>1500</v>
      </c>
      <c r="G18" s="45">
        <f t="shared" si="0"/>
        <v>0</v>
      </c>
      <c r="H18" s="49">
        <f t="shared" si="5"/>
        <v>0.8</v>
      </c>
      <c r="I18" s="49">
        <f t="shared" si="5"/>
        <v>1</v>
      </c>
      <c r="J18" s="45">
        <f t="shared" si="1"/>
        <v>0</v>
      </c>
      <c r="K18" s="43">
        <f t="shared" si="6"/>
        <v>12</v>
      </c>
      <c r="L18" s="45">
        <f t="shared" si="2"/>
        <v>0</v>
      </c>
      <c r="M18" s="50">
        <f t="shared" si="7"/>
        <v>0.30199999999999999</v>
      </c>
      <c r="N18" s="45">
        <f t="shared" si="3"/>
        <v>0</v>
      </c>
    </row>
    <row r="19" spans="1:14" s="48" customFormat="1" ht="17.25" customHeight="1" x14ac:dyDescent="0.25">
      <c r="A19" s="835"/>
      <c r="B19" s="838"/>
      <c r="C19" s="54"/>
      <c r="D19" s="55">
        <v>14</v>
      </c>
      <c r="E19" s="61">
        <v>14</v>
      </c>
      <c r="F19" s="62">
        <f t="shared" si="4"/>
        <v>1500</v>
      </c>
      <c r="G19" s="63">
        <f t="shared" si="0"/>
        <v>0</v>
      </c>
      <c r="H19" s="64">
        <f t="shared" si="5"/>
        <v>0.8</v>
      </c>
      <c r="I19" s="64">
        <f t="shared" si="5"/>
        <v>1</v>
      </c>
      <c r="J19" s="45">
        <f t="shared" si="1"/>
        <v>0</v>
      </c>
      <c r="K19" s="52">
        <f t="shared" si="6"/>
        <v>12</v>
      </c>
      <c r="L19" s="63">
        <f t="shared" si="2"/>
        <v>0</v>
      </c>
      <c r="M19" s="65">
        <f t="shared" si="7"/>
        <v>0.30199999999999999</v>
      </c>
      <c r="N19" s="66">
        <f>L19*M19</f>
        <v>0</v>
      </c>
    </row>
    <row r="20" spans="1:14" s="48" customFormat="1" ht="17.25" customHeight="1" x14ac:dyDescent="0.25">
      <c r="A20" s="836"/>
      <c r="B20" s="67" t="s">
        <v>4</v>
      </c>
      <c r="C20" s="68">
        <f>SUM(C6:C19)</f>
        <v>7</v>
      </c>
      <c r="D20" s="55"/>
      <c r="E20" s="58"/>
      <c r="F20" s="58"/>
      <c r="G20" s="43"/>
      <c r="H20" s="49"/>
      <c r="I20" s="49"/>
      <c r="J20" s="51">
        <f>SUM(J6:J19)</f>
        <v>6599.9999999999982</v>
      </c>
      <c r="K20" s="51"/>
      <c r="L20" s="51">
        <f>SUM(L6:L19)</f>
        <v>79199.999999999971</v>
      </c>
      <c r="M20" s="51"/>
      <c r="N20" s="51">
        <f>SUM(N6:N19)</f>
        <v>23918.399999999994</v>
      </c>
    </row>
  </sheetData>
  <mergeCells count="19">
    <mergeCell ref="A1:F1"/>
    <mergeCell ref="A2:A5"/>
    <mergeCell ref="B2:B5"/>
    <mergeCell ref="C2:C5"/>
    <mergeCell ref="D2:D5"/>
    <mergeCell ref="F2:F5"/>
    <mergeCell ref="J4:J5"/>
    <mergeCell ref="A6:A20"/>
    <mergeCell ref="B6:B19"/>
    <mergeCell ref="G2:N2"/>
    <mergeCell ref="E3:E5"/>
    <mergeCell ref="G3:J3"/>
    <mergeCell ref="K3:K5"/>
    <mergeCell ref="L3:L5"/>
    <mergeCell ref="M3:M5"/>
    <mergeCell ref="N3:N5"/>
    <mergeCell ref="G4:G5"/>
    <mergeCell ref="H4:H5"/>
    <mergeCell ref="I4:I5"/>
  </mergeCells>
  <pageMargins left="0.7" right="0.7" top="0.75" bottom="0.75" header="0.3" footer="0.3"/>
  <pageSetup paperSize="9" fitToHeight="2" orientation="landscape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28</vt:i4>
      </vt:variant>
    </vt:vector>
  </HeadingPairs>
  <TitlesOfParts>
    <vt:vector size="64" baseType="lpstr">
      <vt:lpstr>тит</vt:lpstr>
      <vt:lpstr>Раздел 1</vt:lpstr>
      <vt:lpstr>Раздел 2</vt:lpstr>
      <vt:lpstr>Раздел 3 (новый) </vt:lpstr>
      <vt:lpstr>Расчеты ГЗ</vt:lpstr>
      <vt:lpstr>ФОТ</vt:lpstr>
      <vt:lpstr>численность классы</vt:lpstr>
      <vt:lpstr>числен сад</vt:lpstr>
      <vt:lpstr>Страховые взносы</vt:lpstr>
      <vt:lpstr>Повышение квалификации</vt:lpstr>
      <vt:lpstr>Командировочные расходы</vt:lpstr>
      <vt:lpstr>Связь 221</vt:lpstr>
      <vt:lpstr>Пож сигнализ 225-055</vt:lpstr>
      <vt:lpstr> услуги по содерж имущ 225-770</vt:lpstr>
      <vt:lpstr>Техобслуживание 225-770 226-046</vt:lpstr>
      <vt:lpstr>прочие услуги 226-046</vt:lpstr>
      <vt:lpstr>медосмотры 226-046</vt:lpstr>
      <vt:lpstr>учебники  310-045</vt:lpstr>
      <vt:lpstr>Основ средства 310-914</vt:lpstr>
      <vt:lpstr>медикаменты 341-510</vt:lpstr>
      <vt:lpstr>344</vt:lpstr>
      <vt:lpstr>мягкий инв 345-520</vt:lpstr>
      <vt:lpstr>ГСМ 343-540</vt:lpstr>
      <vt:lpstr>прочие мат запасы 346-550</vt:lpstr>
      <vt:lpstr>сувениры 349-845</vt:lpstr>
      <vt:lpstr>земельный налог</vt:lpstr>
      <vt:lpstr>налог на имущество</vt:lpstr>
      <vt:lpstr>Текущий и кап ремонт</vt:lpstr>
      <vt:lpstr>Расчеты (Иные)</vt:lpstr>
      <vt:lpstr>Продукты школьникам</vt:lpstr>
      <vt:lpstr>Льготный проезд</vt:lpstr>
      <vt:lpstr>Коммунальные услуги</vt:lpstr>
      <vt:lpstr>Выплаты специалистам на селе</vt:lpstr>
      <vt:lpstr>Летний отдых 2020</vt:lpstr>
      <vt:lpstr>норматив</vt:lpstr>
      <vt:lpstr>классное руководство</vt:lpstr>
      <vt:lpstr>'Раздел 2'!_Par114</vt:lpstr>
      <vt:lpstr>'Раздел 2'!_Par122</vt:lpstr>
      <vt:lpstr>'Раздел 2'!_Par172</vt:lpstr>
      <vt:lpstr>'Раздел 2'!_Par22</vt:lpstr>
      <vt:lpstr>'Раздел 2'!_Par31</vt:lpstr>
      <vt:lpstr>'Раздел 2'!_Par39</vt:lpstr>
      <vt:lpstr>'Раздел 2'!_Par47</vt:lpstr>
      <vt:lpstr>'Раздел 2'!_Par55</vt:lpstr>
      <vt:lpstr>'Раздел 2'!_Par64</vt:lpstr>
      <vt:lpstr>'Раздел 2'!_Par89</vt:lpstr>
      <vt:lpstr>'классное руководство'!Заголовки_для_печати</vt:lpstr>
      <vt:lpstr>'Летний отдых 2020'!Заголовки_для_печати</vt:lpstr>
      <vt:lpstr>'численность классы'!Заголовки_для_печати</vt:lpstr>
      <vt:lpstr>'344'!Область_печати</vt:lpstr>
      <vt:lpstr>'земельный налог'!Область_печати</vt:lpstr>
      <vt:lpstr>'классное руководство'!Область_печати</vt:lpstr>
      <vt:lpstr>'Летний отдых 2020'!Область_печати</vt:lpstr>
      <vt:lpstr>норматив!Область_печати</vt:lpstr>
      <vt:lpstr>'Пож сигнализ 225-055'!Область_печати</vt:lpstr>
      <vt:lpstr>'прочие услуги 226-046'!Область_печати</vt:lpstr>
      <vt:lpstr>'Раздел 1'!Область_печати</vt:lpstr>
      <vt:lpstr>'Раздел 3 (новый) '!Область_печати</vt:lpstr>
      <vt:lpstr>'Расчеты (Иные)'!Область_печати</vt:lpstr>
      <vt:lpstr>'Расчеты ГЗ'!Область_печати</vt:lpstr>
      <vt:lpstr>'Связь 221'!Область_печати</vt:lpstr>
      <vt:lpstr>тит!Область_печати</vt:lpstr>
      <vt:lpstr>ФОТ!Область_печати</vt:lpstr>
      <vt:lpstr>'численность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2022-01-24T07:54:26Z</dcterms:modified>
</cp:coreProperties>
</file>